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550" windowHeight="4935" activeTab="0"/>
  </bookViews>
  <sheets>
    <sheet name="peaker not avail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<sst xmlns="http://schemas.openxmlformats.org/spreadsheetml/2006/main" count="97" uniqueCount="55">
  <si>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Capacity provider</t>
  </si>
  <si>
    <t>A</t>
  </si>
  <si>
    <t>B</t>
  </si>
  <si>
    <t>C</t>
  </si>
  <si>
    <t>Nameplate</t>
  </si>
  <si>
    <t>ROQ</t>
  </si>
  <si>
    <t>MQ</t>
  </si>
  <si>
    <t>EAQ</t>
  </si>
  <si>
    <t>Supplier</t>
  </si>
  <si>
    <t>D</t>
  </si>
  <si>
    <t>E</t>
  </si>
  <si>
    <t>Total</t>
  </si>
  <si>
    <t>Ex ante trades</t>
  </si>
  <si>
    <t>Energy imbalances</t>
  </si>
  <si>
    <t>Reliability imbalances</t>
  </si>
  <si>
    <t>thermal baseload</t>
  </si>
  <si>
    <t>thermal mid merit</t>
  </si>
  <si>
    <t>thermal peak</t>
  </si>
  <si>
    <t>Plant characteristics</t>
  </si>
  <si>
    <t>Outturn:</t>
  </si>
  <si>
    <t>Ex ante expectation</t>
  </si>
  <si>
    <t>Scenario for settlement period</t>
  </si>
  <si>
    <t>Scenario for capacity year</t>
  </si>
  <si>
    <t>Supplier payment: Eirgrid proposal</t>
  </si>
  <si>
    <t>Generator payment: Option 4b</t>
  </si>
  <si>
    <t>BM payments</t>
  </si>
  <si>
    <t>RO diff payments</t>
  </si>
  <si>
    <t>Supplier payment: Option 4b</t>
  </si>
  <si>
    <t>Supplier load following adj</t>
  </si>
  <si>
    <t>Gen load following adj</t>
  </si>
  <si>
    <t>Deemed ROQ</t>
  </si>
  <si>
    <t>B better off in Eirgrid proposal as does not get marginal benefit in Option 4b on energy it had sold forward in DAM</t>
  </si>
  <si>
    <t>Same net outcome</t>
  </si>
  <si>
    <t>F</t>
  </si>
  <si>
    <t>A better off in Eirgrid proposal as only fully penalised for lack of reliability on 90MWx load following, not 100MW it has sold in DAM</t>
  </si>
  <si>
    <t>D better off in Eirgrid proposal as gets penalised as heavily in Option 4b for not delivering volumes committed to in DAM</t>
  </si>
  <si>
    <t>F worse off under Eirgrid- even if reliability imbalance recycled, these is a reduced amount due to load following</t>
  </si>
  <si>
    <t>not enough money to compensate F for load shed, whereas under 4b compesnated as bought out of BM</t>
  </si>
  <si>
    <t>Different outcome because of load following</t>
  </si>
  <si>
    <t>marginal incentive blunted by load following in eirgrid but not 4b, where fully reflects BM</t>
  </si>
  <si>
    <t>Generator payment: Eirgrid proposal</t>
  </si>
  <si>
    <t>A (thermal baseload)</t>
  </si>
  <si>
    <t>B (thermal mid-merit)</t>
  </si>
  <si>
    <t>C (thermal peaker)</t>
  </si>
  <si>
    <t>D (wind)</t>
  </si>
  <si>
    <t>Assumptions</t>
  </si>
  <si>
    <t>Generator payment: Option 3 (DAM)</t>
  </si>
  <si>
    <t>Supplier payment: Option 3 (DAM)</t>
  </si>
  <si>
    <t>Day Ahead Market Price</t>
  </si>
  <si>
    <t>RO Strike Price</t>
  </si>
  <si>
    <t>BM price</t>
  </si>
  <si>
    <t>Cap requirement is 280MW, 280MW of RO bought</t>
  </si>
  <si>
    <t>Demand below peak, wind producing at 30% load factor, generator C not needed</t>
  </si>
  <si>
    <t>Scarcity at below peak demand, generator C needed but not available</t>
  </si>
  <si>
    <t>wind cap credit = 10%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</si>
</sst>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;[Red]#,##0"/>
    <numFmt numFmtId="165" formatCode="[$€-83C]#,##0;[Red]\-[$€-83C]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Fill="1" applyBorder="1" applyAlignment="1">
      <alignment/>
    </xf>
    <xf numFmtId="9" fontId="0" fillId="33" borderId="0" xfId="57" applyFont="1" applyFill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16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165" fontId="0" fillId="33" borderId="14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0" fillId="33" borderId="12" xfId="0" applyNumberFormat="1" applyFill="1" applyBorder="1" applyAlignment="1">
      <alignment wrapText="1"/>
    </xf>
    <xf numFmtId="0" fontId="32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12" xfId="0" applyFill="1" applyBorder="1" applyAlignment="1">
      <alignment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32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12" xfId="0" applyFill="1" applyBorder="1" applyAlignment="1">
      <alignment/>
    </xf>
    <xf numFmtId="0" fontId="0" fillId="16" borderId="12" xfId="0" applyFill="1" applyBorder="1" applyAlignment="1">
      <alignment wrapText="1"/>
    </xf>
    <xf numFmtId="165" fontId="0" fillId="16" borderId="12" xfId="0" applyNumberFormat="1" applyFill="1" applyBorder="1" applyAlignment="1">
      <alignment/>
    </xf>
    <xf numFmtId="0" fontId="0" fillId="16" borderId="13" xfId="0" applyFill="1" applyBorder="1" applyAlignment="1">
      <alignment/>
    </xf>
    <xf numFmtId="165" fontId="0" fillId="16" borderId="13" xfId="0" applyNumberFormat="1" applyFill="1" applyBorder="1" applyAlignment="1">
      <alignment/>
    </xf>
    <xf numFmtId="0" fontId="0" fillId="16" borderId="14" xfId="0" applyFill="1" applyBorder="1" applyAlignment="1">
      <alignment/>
    </xf>
    <xf numFmtId="165" fontId="0" fillId="16" borderId="14" xfId="0" applyNumberFormat="1" applyFill="1" applyBorder="1" applyAlignment="1">
      <alignment/>
    </xf>
    <xf numFmtId="164" fontId="0" fillId="16" borderId="0" xfId="0" applyNumberFormat="1" applyFill="1" applyBorder="1" applyAlignment="1">
      <alignment/>
    </xf>
    <xf numFmtId="164" fontId="0" fillId="16" borderId="0" xfId="0" applyNumberFormat="1" applyFill="1" applyAlignment="1">
      <alignment/>
    </xf>
    <xf numFmtId="164" fontId="0" fillId="16" borderId="12" xfId="0" applyNumberFormat="1" applyFill="1" applyBorder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zoomScalePageLayoutView="0" workbookViewId="0" topLeftCell="A10">
      <selection activeCell="A29" sqref="A29"/>
    </sheetView>
  </sheetViews>
  <sheetFormatPr defaultColWidth="9.140625" defaultRowHeight="15"/>
  <cols>
    <col min="1" max="1" width="42.8515625" style="0" customWidth="1"/>
    <col min="2" max="2" width="20.7109375" style="0" customWidth="1"/>
    <col min="3" max="3" width="10.7109375" style="0" customWidth="1"/>
    <col min="4" max="4" width="8.421875" style="0" customWidth="1"/>
    <col min="5" max="5" width="5.28125" style="0" customWidth="1"/>
    <col min="6" max="6" width="5.140625" style="0" customWidth="1"/>
    <col min="7" max="7" width="2.57421875" style="0" customWidth="1"/>
    <col min="8" max="9" width="0" style="0" hidden="1" customWidth="1"/>
    <col min="10" max="10" width="9.8515625" style="0" hidden="1" customWidth="1"/>
    <col min="11" max="11" width="12.140625" style="0" hidden="1" customWidth="1"/>
    <col min="12" max="12" width="11.7109375" style="0" hidden="1" customWidth="1"/>
    <col min="13" max="13" width="11.00390625" style="0" hidden="1" customWidth="1"/>
    <col min="14" max="14" width="4.7109375" style="0" hidden="1" customWidth="1"/>
    <col min="15" max="15" width="5.7109375" style="0" customWidth="1"/>
    <col min="16" max="16" width="8.57421875" style="0" customWidth="1"/>
    <col min="17" max="17" width="9.57421875" style="0" customWidth="1"/>
    <col min="18" max="18" width="9.421875" style="0" customWidth="1"/>
    <col min="19" max="19" width="9.00390625" style="0" customWidth="1"/>
    <col min="20" max="20" width="2.140625" style="0" customWidth="1"/>
    <col min="21" max="21" width="0" style="0" hidden="1" customWidth="1"/>
    <col min="22" max="22" width="6.421875" style="0" customWidth="1"/>
    <col min="23" max="23" width="8.00390625" style="0" customWidth="1"/>
    <col min="24" max="24" width="9.7109375" style="0" customWidth="1"/>
    <col min="25" max="25" width="9.421875" style="0" customWidth="1"/>
    <col min="26" max="26" width="9.140625" style="0" customWidth="1"/>
  </cols>
  <sheetData>
    <row r="1" spans="1:2" ht="15">
      <c r="A1" t="s">
        <v>22</v>
      </c>
      <c r="B1" t="s">
        <v>51</v>
      </c>
    </row>
    <row r="2" spans="1:3" ht="15">
      <c r="A2" t="s">
        <v>21</v>
      </c>
      <c r="B2" t="s">
        <v>20</v>
      </c>
      <c r="C2" t="s">
        <v>52</v>
      </c>
    </row>
    <row r="3" spans="2:3" ht="15">
      <c r="B3" t="s">
        <v>19</v>
      </c>
      <c r="C3" t="s">
        <v>53</v>
      </c>
    </row>
    <row r="4" spans="2:6" ht="15">
      <c r="B4" s="22" t="s">
        <v>45</v>
      </c>
      <c r="C4" s="23"/>
      <c r="D4" s="23"/>
      <c r="E4" s="23"/>
      <c r="F4" s="23"/>
    </row>
    <row r="5" spans="2:6" ht="15">
      <c r="B5" s="23" t="s">
        <v>49</v>
      </c>
      <c r="C5" s="23">
        <v>500</v>
      </c>
      <c r="D5" s="23"/>
      <c r="E5" s="23"/>
      <c r="F5" s="23"/>
    </row>
    <row r="6" spans="2:6" ht="15">
      <c r="B6" s="23" t="s">
        <v>48</v>
      </c>
      <c r="C6" s="23">
        <v>100</v>
      </c>
      <c r="D6" s="23"/>
      <c r="E6" s="23"/>
      <c r="F6" s="23"/>
    </row>
    <row r="7" spans="2:6" ht="15">
      <c r="B7" s="23" t="s">
        <v>50</v>
      </c>
      <c r="C7" s="23">
        <v>10000</v>
      </c>
      <c r="D7" s="23"/>
      <c r="E7" s="23"/>
      <c r="F7" s="23"/>
    </row>
    <row r="8" spans="2:6" ht="15">
      <c r="B8" s="23"/>
      <c r="C8" s="23"/>
      <c r="D8" s="23"/>
      <c r="E8" s="23"/>
      <c r="F8" s="23"/>
    </row>
    <row r="9" spans="2:26" ht="15">
      <c r="B9" s="23"/>
      <c r="C9" s="23"/>
      <c r="D9" s="23"/>
      <c r="E9" s="23"/>
      <c r="F9" s="23"/>
      <c r="I9" t="s">
        <v>40</v>
      </c>
      <c r="O9" s="11" t="s">
        <v>24</v>
      </c>
      <c r="P9" s="10"/>
      <c r="Q9" s="10"/>
      <c r="R9" s="10"/>
      <c r="S9" s="10"/>
      <c r="V9" s="28" t="s">
        <v>46</v>
      </c>
      <c r="W9" s="29"/>
      <c r="X9" s="29"/>
      <c r="Y9" s="29"/>
      <c r="Z9" s="29"/>
    </row>
    <row r="10" spans="1:26" ht="45">
      <c r="A10" t="s">
        <v>18</v>
      </c>
      <c r="B10" s="24" t="s">
        <v>0</v>
      </c>
      <c r="C10" s="25" t="s">
        <v>4</v>
      </c>
      <c r="D10" s="25" t="s">
        <v>5</v>
      </c>
      <c r="E10" s="25" t="s">
        <v>7</v>
      </c>
      <c r="F10" s="25" t="s">
        <v>6</v>
      </c>
      <c r="J10" s="1" t="s">
        <v>12</v>
      </c>
      <c r="K10" s="1" t="s">
        <v>13</v>
      </c>
      <c r="L10" s="1" t="s">
        <v>14</v>
      </c>
      <c r="M10" s="1" t="s">
        <v>11</v>
      </c>
      <c r="O10" s="12"/>
      <c r="P10" s="13" t="s">
        <v>12</v>
      </c>
      <c r="Q10" s="13" t="s">
        <v>25</v>
      </c>
      <c r="R10" s="13" t="s">
        <v>26</v>
      </c>
      <c r="S10" s="13" t="s">
        <v>11</v>
      </c>
      <c r="V10" s="30"/>
      <c r="W10" s="31" t="s">
        <v>12</v>
      </c>
      <c r="X10" s="31" t="s">
        <v>25</v>
      </c>
      <c r="Y10" s="31" t="s">
        <v>26</v>
      </c>
      <c r="Z10" s="31" t="s">
        <v>11</v>
      </c>
    </row>
    <row r="11" spans="1:26" ht="15">
      <c r="A11" t="s">
        <v>15</v>
      </c>
      <c r="B11" s="24" t="s">
        <v>41</v>
      </c>
      <c r="C11" s="24">
        <v>100</v>
      </c>
      <c r="D11" s="24">
        <v>90</v>
      </c>
      <c r="E11" s="24">
        <v>100</v>
      </c>
      <c r="F11" s="24">
        <v>100</v>
      </c>
      <c r="I11" t="s">
        <v>1</v>
      </c>
      <c r="J11" s="6">
        <f>E11*$C$6</f>
        <v>10000</v>
      </c>
      <c r="K11" s="6">
        <f>MIN($C$7,$C$5)*(F11-E11)</f>
        <v>0</v>
      </c>
      <c r="L11" s="6">
        <f>MAX(($C$7-$C$5),0)*(F11-D11*$S$23)</f>
        <v>247678.57142857142</v>
      </c>
      <c r="M11" s="6">
        <f>SUM(J11:L11)</f>
        <v>257678.57142857142</v>
      </c>
      <c r="O11" s="12" t="s">
        <v>1</v>
      </c>
      <c r="P11" s="14">
        <f>E11*$C$6</f>
        <v>10000</v>
      </c>
      <c r="Q11" s="14">
        <f>(F11-E11)*$C$7</f>
        <v>0</v>
      </c>
      <c r="R11" s="14">
        <f>-(MIN(E11,D11)*(MAX(($C$6-$C$5),0))+(MAX(D11-E11,0)*(MAX(($C$7-$C$5),0))))*$S$23</f>
        <v>0</v>
      </c>
      <c r="S11" s="14">
        <f>SUM(P11:R11)</f>
        <v>10000</v>
      </c>
      <c r="U11" t="s">
        <v>34</v>
      </c>
      <c r="V11" s="30" t="s">
        <v>1</v>
      </c>
      <c r="W11" s="32">
        <f>P11</f>
        <v>10000</v>
      </c>
      <c r="X11" s="32">
        <f>(F11-E11)*$C$7</f>
        <v>0</v>
      </c>
      <c r="Y11" s="32">
        <f>-D11*(MAX(($C$6-$C$5),0))*$S$23</f>
        <v>0</v>
      </c>
      <c r="Z11" s="32">
        <f>SUM(W11:Y11)</f>
        <v>10000</v>
      </c>
    </row>
    <row r="12" spans="1:26" ht="15">
      <c r="A12" t="s">
        <v>16</v>
      </c>
      <c r="B12" s="24" t="s">
        <v>42</v>
      </c>
      <c r="C12" s="24">
        <v>100</v>
      </c>
      <c r="D12" s="24">
        <v>90</v>
      </c>
      <c r="E12" s="24">
        <v>70</v>
      </c>
      <c r="F12" s="24">
        <v>100</v>
      </c>
      <c r="I12" t="s">
        <v>2</v>
      </c>
      <c r="J12" s="6">
        <f>E12*$C$6</f>
        <v>7000</v>
      </c>
      <c r="K12" s="6">
        <f>MIN($C$7,$C$5)*(F12-E12)</f>
        <v>15000</v>
      </c>
      <c r="L12" s="6">
        <f>MAX(($C$7-$C$5),0)*(F12-D12*$S$23)</f>
        <v>247678.57142857142</v>
      </c>
      <c r="M12" s="6">
        <f>SUM(J12:L12)</f>
        <v>269678.5714285714</v>
      </c>
      <c r="O12" s="12" t="s">
        <v>2</v>
      </c>
      <c r="P12" s="14">
        <f>E12*$C$6</f>
        <v>7000</v>
      </c>
      <c r="Q12" s="14">
        <f>(F12-E12)*$C$7</f>
        <v>300000</v>
      </c>
      <c r="R12" s="14">
        <f>-(MIN(E12,D12)*(MAX(($C$6-$C$5),0))+(MAX(D12-E12,0)*(MAX(($C$7-$C$5),0))))*$S$23</f>
        <v>-156071.42857142858</v>
      </c>
      <c r="S12" s="14">
        <f>SUM(P12:R12)</f>
        <v>150928.57142857142</v>
      </c>
      <c r="U12" t="s">
        <v>31</v>
      </c>
      <c r="V12" s="30" t="s">
        <v>2</v>
      </c>
      <c r="W12" s="32">
        <f>P12</f>
        <v>7000</v>
      </c>
      <c r="X12" s="32">
        <f>(F12-E12)*$C$7</f>
        <v>300000</v>
      </c>
      <c r="Y12" s="32">
        <f>-D12*(MAX(($C$6-$C$5),0))*$S$23</f>
        <v>0</v>
      </c>
      <c r="Z12" s="32">
        <f>SUM(W12:Y12)</f>
        <v>307000</v>
      </c>
    </row>
    <row r="13" spans="1:26" ht="15">
      <c r="A13" t="s">
        <v>17</v>
      </c>
      <c r="B13" s="24" t="s">
        <v>43</v>
      </c>
      <c r="C13" s="24">
        <v>100</v>
      </c>
      <c r="D13" s="24">
        <v>90</v>
      </c>
      <c r="E13" s="24">
        <v>0</v>
      </c>
      <c r="F13" s="24">
        <v>0</v>
      </c>
      <c r="I13" t="s">
        <v>3</v>
      </c>
      <c r="J13" s="6">
        <f>E13*$C$6</f>
        <v>0</v>
      </c>
      <c r="K13" s="6">
        <f>MIN($C$7,$C$5)*(F13-E13)</f>
        <v>0</v>
      </c>
      <c r="L13" s="6">
        <f>MAX(($C$7-$C$5),0)*(F13-D13*$S$23)</f>
        <v>-702321.4285714286</v>
      </c>
      <c r="M13" s="6">
        <f>SUM(J13:L13)</f>
        <v>-702321.4285714286</v>
      </c>
      <c r="O13" s="12" t="s">
        <v>3</v>
      </c>
      <c r="P13" s="14">
        <f>E13*$C$6</f>
        <v>0</v>
      </c>
      <c r="Q13" s="14">
        <f>(F13-E13)*$C$7</f>
        <v>0</v>
      </c>
      <c r="R13" s="14">
        <f>-(MIN(E13,D13)*(MAX(($C$6-$C$5),0))+(MAX(D13-E13,0)*(MAX(($C$7-$C$5),0))))*$S$23</f>
        <v>-702321.4285714285</v>
      </c>
      <c r="S13" s="14">
        <f>SUM(P13:R13)</f>
        <v>-702321.4285714285</v>
      </c>
      <c r="U13" t="s">
        <v>38</v>
      </c>
      <c r="V13" s="30" t="s">
        <v>3</v>
      </c>
      <c r="W13" s="32">
        <f>P13</f>
        <v>0</v>
      </c>
      <c r="X13" s="32">
        <f>(F13-E13)*$C$7</f>
        <v>0</v>
      </c>
      <c r="Y13" s="32">
        <f>-D13*(MAX(($C$6-$C$5),0))*$S$23</f>
        <v>0</v>
      </c>
      <c r="Z13" s="32">
        <f>SUM(W13:Y13)</f>
        <v>0</v>
      </c>
    </row>
    <row r="14" spans="1:26" ht="15.75" thickBot="1">
      <c r="A14" t="s">
        <v>54</v>
      </c>
      <c r="B14" s="26" t="s">
        <v>44</v>
      </c>
      <c r="C14" s="26">
        <v>100</v>
      </c>
      <c r="D14" s="26">
        <v>10</v>
      </c>
      <c r="E14" s="26">
        <v>30</v>
      </c>
      <c r="F14" s="26">
        <v>30</v>
      </c>
      <c r="I14" t="s">
        <v>9</v>
      </c>
      <c r="J14" s="7">
        <f>E14*$C$6</f>
        <v>3000</v>
      </c>
      <c r="K14" s="7">
        <f>MIN($C$7,$C$5)*(F14-E14)</f>
        <v>0</v>
      </c>
      <c r="L14" s="6">
        <f>MAX(($C$7-$C$5),0)*(F14-D14*$S$23)</f>
        <v>206964.2857142857</v>
      </c>
      <c r="M14" s="7">
        <f>SUM(J14:L14)</f>
        <v>209964.2857142857</v>
      </c>
      <c r="O14" s="15" t="s">
        <v>9</v>
      </c>
      <c r="P14" s="16">
        <f>E14*$C$6</f>
        <v>3000</v>
      </c>
      <c r="Q14" s="16">
        <f>(F14-E14)*$C$7</f>
        <v>0</v>
      </c>
      <c r="R14" s="16">
        <f>-(MIN(E14,D14)*(MAX(($C$6-$C$5),0))+(MAX(D14-E14,0)*(MAX(($C$7-$C$5),0))))*$S$23</f>
        <v>0</v>
      </c>
      <c r="S14" s="16">
        <f>SUM(P14:R14)</f>
        <v>3000</v>
      </c>
      <c r="U14" t="s">
        <v>35</v>
      </c>
      <c r="V14" s="33" t="s">
        <v>9</v>
      </c>
      <c r="W14" s="34">
        <f>P14</f>
        <v>3000</v>
      </c>
      <c r="X14" s="34">
        <f>(F14-E14)*$C$7</f>
        <v>0</v>
      </c>
      <c r="Y14" s="34">
        <f>-D14*(MAX(($C$6-$C$5),0))*$S$23</f>
        <v>0</v>
      </c>
      <c r="Z14" s="34">
        <f>SUM(W14:Y14)</f>
        <v>3000</v>
      </c>
    </row>
    <row r="15" spans="2:26" ht="15.75" thickTop="1">
      <c r="B15" s="27" t="s">
        <v>11</v>
      </c>
      <c r="C15" s="27">
        <f>SUM(C11:C14)</f>
        <v>400</v>
      </c>
      <c r="D15" s="27">
        <f>SUM(D11:D14)</f>
        <v>280</v>
      </c>
      <c r="E15" s="27">
        <f>SUM(E11:E14)</f>
        <v>200</v>
      </c>
      <c r="F15" s="27">
        <f>SUM(F11:F14)</f>
        <v>230</v>
      </c>
      <c r="I15" t="s">
        <v>11</v>
      </c>
      <c r="J15" s="6">
        <f>SUM(J11:J14)</f>
        <v>20000</v>
      </c>
      <c r="K15" s="6">
        <f>SUM(K11:K14)</f>
        <v>15000</v>
      </c>
      <c r="L15" s="8">
        <f>SUM(L11:L14)</f>
        <v>0</v>
      </c>
      <c r="M15" s="6">
        <f>SUM(M11:M14)</f>
        <v>34999.99999999991</v>
      </c>
      <c r="O15" s="17" t="s">
        <v>11</v>
      </c>
      <c r="P15" s="18">
        <f>SUM(P11:P14)</f>
        <v>20000</v>
      </c>
      <c r="Q15" s="18">
        <f>SUM(Q11:Q14)</f>
        <v>300000</v>
      </c>
      <c r="R15" s="18">
        <f>SUM(R11:R14)</f>
        <v>-858392.857142857</v>
      </c>
      <c r="S15" s="18">
        <f>SUM(S11:S14)</f>
        <v>-538392.857142857</v>
      </c>
      <c r="V15" s="35" t="s">
        <v>11</v>
      </c>
      <c r="W15" s="36">
        <f>SUM(W11:W14)</f>
        <v>20000</v>
      </c>
      <c r="X15" s="36">
        <f>SUM(X11:X14)</f>
        <v>300000</v>
      </c>
      <c r="Y15" s="36">
        <f>SUM(Y11:Y14)</f>
        <v>0</v>
      </c>
      <c r="Z15" s="36">
        <f>SUM(Z11:Z14)</f>
        <v>320000</v>
      </c>
    </row>
    <row r="16" spans="2:26" ht="15">
      <c r="B16" s="23"/>
      <c r="C16" s="23"/>
      <c r="D16" s="23"/>
      <c r="E16" s="23"/>
      <c r="F16" s="23"/>
      <c r="J16" s="2"/>
      <c r="K16" s="3"/>
      <c r="L16" s="3"/>
      <c r="M16" s="3"/>
      <c r="O16" s="10"/>
      <c r="P16" s="19"/>
      <c r="Q16" s="20"/>
      <c r="R16" s="19"/>
      <c r="S16" s="19"/>
      <c r="V16" s="29"/>
      <c r="W16" s="37"/>
      <c r="X16" s="38"/>
      <c r="Y16" s="37"/>
      <c r="Z16" s="37"/>
    </row>
    <row r="17" spans="2:26" ht="15">
      <c r="B17" s="23"/>
      <c r="C17" s="23"/>
      <c r="D17" s="23"/>
      <c r="E17" s="23"/>
      <c r="F17" s="23"/>
      <c r="I17" t="s">
        <v>23</v>
      </c>
      <c r="J17" s="2"/>
      <c r="K17" s="3"/>
      <c r="L17" s="3"/>
      <c r="M17" s="3"/>
      <c r="O17" s="11" t="s">
        <v>27</v>
      </c>
      <c r="P17" s="19"/>
      <c r="Q17" s="20"/>
      <c r="R17" s="20"/>
      <c r="S17" s="20"/>
      <c r="V17" s="28" t="s">
        <v>47</v>
      </c>
      <c r="W17" s="37"/>
      <c r="X17" s="38"/>
      <c r="Y17" s="38"/>
      <c r="Z17" s="38"/>
    </row>
    <row r="18" spans="2:26" ht="45">
      <c r="B18" s="24" t="s">
        <v>8</v>
      </c>
      <c r="C18" s="24"/>
      <c r="D18" s="25" t="s">
        <v>30</v>
      </c>
      <c r="E18" s="25" t="s">
        <v>7</v>
      </c>
      <c r="F18" s="25" t="s">
        <v>6</v>
      </c>
      <c r="J18" s="4" t="s">
        <v>12</v>
      </c>
      <c r="K18" s="5" t="s">
        <v>13</v>
      </c>
      <c r="L18" s="5" t="s">
        <v>14</v>
      </c>
      <c r="M18" s="5" t="s">
        <v>11</v>
      </c>
      <c r="O18" s="12"/>
      <c r="P18" s="21" t="s">
        <v>12</v>
      </c>
      <c r="Q18" s="21" t="s">
        <v>25</v>
      </c>
      <c r="R18" s="21" t="s">
        <v>26</v>
      </c>
      <c r="S18" s="21" t="s">
        <v>11</v>
      </c>
      <c r="V18" s="30"/>
      <c r="W18" s="39" t="s">
        <v>12</v>
      </c>
      <c r="X18" s="39" t="s">
        <v>25</v>
      </c>
      <c r="Y18" s="39" t="s">
        <v>26</v>
      </c>
      <c r="Z18" s="39" t="s">
        <v>11</v>
      </c>
    </row>
    <row r="19" spans="2:26" ht="15">
      <c r="B19" s="24" t="s">
        <v>10</v>
      </c>
      <c r="C19" s="24"/>
      <c r="D19" s="24">
        <f>F19*$S$24</f>
        <v>100</v>
      </c>
      <c r="E19" s="24">
        <v>100</v>
      </c>
      <c r="F19" s="24">
        <v>100</v>
      </c>
      <c r="I19" t="s">
        <v>10</v>
      </c>
      <c r="J19" s="6">
        <f>-E19*$C$6</f>
        <v>-10000</v>
      </c>
      <c r="K19" s="6">
        <f>-MIN($C$7,$C$5)*(F19-E19)</f>
        <v>0</v>
      </c>
      <c r="L19" s="6">
        <f>-MAX(($C$7-$C$5),0)*(D19-F19*$S$24)</f>
        <v>0</v>
      </c>
      <c r="M19" s="6">
        <f>SUM(J19:L19)</f>
        <v>-10000</v>
      </c>
      <c r="O19" s="12" t="s">
        <v>10</v>
      </c>
      <c r="P19" s="14">
        <f>-E19*$C$6</f>
        <v>-10000</v>
      </c>
      <c r="Q19" s="14">
        <f>-(F19-E19)*$C$7</f>
        <v>0</v>
      </c>
      <c r="R19" s="14">
        <f>(MIN(D19,E19)*(MAX(($C$6-$C$5),0))+(MAX(D19-E19,0)*(MAX(($C$7-$C$5),0))))*$S$24</f>
        <v>0</v>
      </c>
      <c r="S19" s="14">
        <f>SUM(P19:R19)</f>
        <v>-10000</v>
      </c>
      <c r="U19" t="s">
        <v>32</v>
      </c>
      <c r="V19" s="30" t="s">
        <v>10</v>
      </c>
      <c r="W19" s="32">
        <f>P19</f>
        <v>-10000</v>
      </c>
      <c r="X19" s="32">
        <f>-(F19-E19)*$C$7</f>
        <v>0</v>
      </c>
      <c r="Y19" s="32">
        <f>D19*(MAX(($C$6-$C$5),0))*$S$24</f>
        <v>0</v>
      </c>
      <c r="Z19" s="32">
        <f>SUM(W19:Y19)</f>
        <v>-10000</v>
      </c>
    </row>
    <row r="20" spans="2:26" ht="15.75" thickBot="1">
      <c r="B20" s="26" t="s">
        <v>33</v>
      </c>
      <c r="C20" s="26"/>
      <c r="D20" s="26">
        <f>F20*$S$24</f>
        <v>130</v>
      </c>
      <c r="E20" s="26">
        <v>100</v>
      </c>
      <c r="F20" s="26">
        <v>130</v>
      </c>
      <c r="I20" t="s">
        <v>33</v>
      </c>
      <c r="J20" s="7">
        <f>-E20*$C$6</f>
        <v>-10000</v>
      </c>
      <c r="K20" s="7">
        <f>-MIN($C$7,$C$5)*(F20-E20)</f>
        <v>-15000</v>
      </c>
      <c r="L20" s="6">
        <f>-MAX(($C$7-$C$5),0)*(D20-F20*$S$24)</f>
        <v>0</v>
      </c>
      <c r="M20" s="7">
        <f>SUM(J20:L20)</f>
        <v>-25000</v>
      </c>
      <c r="O20" s="15" t="s">
        <v>33</v>
      </c>
      <c r="P20" s="16">
        <f>-E20*$C$6</f>
        <v>-10000</v>
      </c>
      <c r="Q20" s="16">
        <f>-(F20-E20)*$C$7</f>
        <v>-300000</v>
      </c>
      <c r="R20" s="16">
        <f>(MIN(D20,E20)*(MAX(($C$6-$C$5),0))+(MAX(D20-E20,0)*(MAX(($C$7-$C$5),0))))*$S$24</f>
        <v>285000</v>
      </c>
      <c r="S20" s="16">
        <f>SUM(P20:R20)</f>
        <v>-25000</v>
      </c>
      <c r="U20" t="s">
        <v>36</v>
      </c>
      <c r="V20" s="33" t="s">
        <v>33</v>
      </c>
      <c r="W20" s="34">
        <f>P20</f>
        <v>-10000</v>
      </c>
      <c r="X20" s="34">
        <f>-(F20-E20)*$C$7</f>
        <v>-300000</v>
      </c>
      <c r="Y20" s="34">
        <f>D20*(MAX(($C$6-$C$5),0))*$S$24</f>
        <v>0</v>
      </c>
      <c r="Z20" s="34">
        <f>SUM(W20:Y20)</f>
        <v>-310000</v>
      </c>
    </row>
    <row r="21" spans="2:26" ht="15.75" thickTop="1">
      <c r="B21" s="27" t="s">
        <v>11</v>
      </c>
      <c r="C21" s="27"/>
      <c r="D21" s="27">
        <f>SUM(D19:D20)</f>
        <v>230</v>
      </c>
      <c r="E21" s="27">
        <f>SUM(E19:E20)</f>
        <v>200</v>
      </c>
      <c r="F21" s="27">
        <f>SUM(F19:F20)</f>
        <v>230</v>
      </c>
      <c r="I21" t="s">
        <v>11</v>
      </c>
      <c r="J21" s="6">
        <f>SUM(J19:J20)</f>
        <v>-20000</v>
      </c>
      <c r="K21" s="6">
        <f>SUM(K19:K20)</f>
        <v>-15000</v>
      </c>
      <c r="L21" s="8">
        <f>SUM(L19:L20)</f>
        <v>0</v>
      </c>
      <c r="M21" s="6">
        <f>SUM(M19:M20)</f>
        <v>-35000</v>
      </c>
      <c r="O21" s="17" t="s">
        <v>11</v>
      </c>
      <c r="P21" s="18">
        <f>SUM(P19:P20)</f>
        <v>-20000</v>
      </c>
      <c r="Q21" s="18">
        <f>SUM(Q19:Q20)</f>
        <v>-300000</v>
      </c>
      <c r="R21" s="18">
        <f>SUM(R19:R20)</f>
        <v>285000</v>
      </c>
      <c r="S21" s="18">
        <f>SUM(S19:S20)</f>
        <v>-35000</v>
      </c>
      <c r="V21" s="35" t="s">
        <v>11</v>
      </c>
      <c r="W21" s="36">
        <f>SUM(W19:W20)</f>
        <v>-20000</v>
      </c>
      <c r="X21" s="36">
        <f>SUM(X19:X20)</f>
        <v>-300000</v>
      </c>
      <c r="Y21" s="36">
        <f>SUM(Y19:Y20)</f>
        <v>0</v>
      </c>
      <c r="Z21" s="36">
        <f>SUM(Z19:Z20)</f>
        <v>-320000</v>
      </c>
    </row>
    <row r="23" spans="12:19" ht="15">
      <c r="L23" t="s">
        <v>37</v>
      </c>
      <c r="O23" s="40" t="s">
        <v>29</v>
      </c>
      <c r="P23" s="40"/>
      <c r="Q23" s="40"/>
      <c r="R23" s="40"/>
      <c r="S23" s="9">
        <f>F21/D15</f>
        <v>0.8214285714285714</v>
      </c>
    </row>
    <row r="24" spans="12:19" ht="15">
      <c r="L24" t="s">
        <v>39</v>
      </c>
      <c r="O24" s="40" t="s">
        <v>28</v>
      </c>
      <c r="P24" s="40"/>
      <c r="Q24" s="40"/>
      <c r="R24" s="40"/>
      <c r="S24" s="10">
        <f>MIN(D15/F21,1)</f>
        <v>1</v>
      </c>
    </row>
  </sheetData>
  <sheetProtection/>
  <mergeCells count="2">
    <mergeCell ref="O23:R23"/>
    <mergeCell ref="O24:R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Maeve Kennedy</cp:lastModifiedBy>
  <cp:lastPrinted>2015-09-07T10:45:50Z</cp:lastPrinted>
  <dcterms:created xsi:type="dcterms:W3CDTF">2015-08-18T16:40:42Z</dcterms:created>
  <dcterms:modified xsi:type="dcterms:W3CDTF">2015-10-06T10:32:11Z</dcterms:modified>
  <cp:category/>
  <cp:version/>
  <cp:contentType/>
  <cp:contentStatus/>
</cp:coreProperties>
</file>