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910" windowHeight="7710" activeTab="1"/>
  </bookViews>
  <sheets>
    <sheet name="Scarcity in BM only" sheetId="1" r:id="rId1"/>
    <sheet name="scarcity in DAM and BM" sheetId="2" r:id="rId2"/>
  </sheets>
  <definedNames/>
  <calcPr fullCalcOnLoad="1"/>
</workbook>
</file>

<file path=xl/sharedStrings.xml><?xml version="1.0" encoding="utf-8"?>
<sst xmlns="http://schemas.openxmlformats.org/spreadsheetml/2006/main" count="144" uniqueCount="57">
  <si>
    <t>A</t>
  </si>
  <si>
    <t>Capacity provider</t>
  </si>
  <si>
    <t>Nameplate</t>
  </si>
  <si>
    <t>ROQ</t>
  </si>
  <si>
    <t>EAQ</t>
  </si>
  <si>
    <t>MQ</t>
  </si>
  <si>
    <t>Outturn events</t>
  </si>
  <si>
    <t>partial outage</t>
  </si>
  <si>
    <t>D (wind)</t>
  </si>
  <si>
    <t>Total</t>
  </si>
  <si>
    <t>Supplier</t>
  </si>
  <si>
    <t>Deemed ROQ</t>
  </si>
  <si>
    <t>E</t>
  </si>
  <si>
    <t>F</t>
  </si>
  <si>
    <t>Scenario for capacity year</t>
  </si>
  <si>
    <t>Scenario for settlement period</t>
  </si>
  <si>
    <t>Outturn:</t>
  </si>
  <si>
    <t>EAP (Day Ahead Price)</t>
  </si>
  <si>
    <t>IMBP</t>
  </si>
  <si>
    <t>RO Strike Price</t>
  </si>
  <si>
    <t>2 way CfD</t>
  </si>
  <si>
    <t>Total without RO</t>
  </si>
  <si>
    <t>Plant characteristics</t>
  </si>
  <si>
    <t>RO diff payments</t>
  </si>
  <si>
    <t>thermal baseload</t>
  </si>
  <si>
    <t>thermal mid merit</t>
  </si>
  <si>
    <t>B</t>
  </si>
  <si>
    <t>thermal peak</t>
  </si>
  <si>
    <t>C</t>
  </si>
  <si>
    <t>wind cap credit = 10%, average load factor = 30%</t>
  </si>
  <si>
    <t>D</t>
  </si>
  <si>
    <t>Gen load following adj</t>
  </si>
  <si>
    <t>Supplier load following adj</t>
  </si>
  <si>
    <t>2 way CfD Strike Price</t>
  </si>
  <si>
    <t>Day Ahead trades</t>
  </si>
  <si>
    <t>wind blows at 30%</t>
  </si>
  <si>
    <t>New 2 way CfD</t>
  </si>
  <si>
    <t>Old 2 way CfD</t>
  </si>
  <si>
    <t>Generator payment (with RO under Option 4b)</t>
  </si>
  <si>
    <t>Supplier payment (with RO under Option 4b)</t>
  </si>
  <si>
    <t>Supplier payment (without RO)</t>
  </si>
  <si>
    <t>Assumptions</t>
  </si>
  <si>
    <t>Total with RO</t>
  </si>
  <si>
    <t>Generator payment (without RO), €k</t>
  </si>
  <si>
    <t>BM</t>
  </si>
  <si>
    <t>Supplier payment (without RO), €k</t>
  </si>
  <si>
    <t>A (baseload)</t>
  </si>
  <si>
    <t>B (mid-merit)</t>
  </si>
  <si>
    <t>C (peaker)</t>
  </si>
  <si>
    <t>Generator payment (with RO under Option 4b), €k</t>
  </si>
  <si>
    <t>Supplier payment (with RO under Option 4b), €k</t>
  </si>
  <si>
    <t>wind cap credit = 10%</t>
  </si>
  <si>
    <t>Cap requirement is 280MW, 280MW of RO bought</t>
  </si>
  <si>
    <t>Demand at 240MW, 30MW of wind, no thermaloutages</t>
  </si>
  <si>
    <t>Scarcity at peak demand, baseload g partial outage, wind blows at 30MW</t>
  </si>
  <si>
    <t>As ex ante</t>
  </si>
  <si>
    <t>Day ahead expectation: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</si>
</sst>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"/>
    <numFmt numFmtId="165" formatCode="#,##0.0;[Red]\-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0" fontId="32" fillId="12" borderId="0" xfId="0" applyFon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 wrapText="1"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16" borderId="0" xfId="0" applyFill="1" applyAlignment="1">
      <alignment/>
    </xf>
    <xf numFmtId="0" fontId="0" fillId="16" borderId="10" xfId="0" applyFill="1" applyBorder="1" applyAlignment="1">
      <alignment wrapText="1"/>
    </xf>
    <xf numFmtId="0" fontId="0" fillId="16" borderId="0" xfId="0" applyFill="1" applyBorder="1" applyAlignment="1">
      <alignment/>
    </xf>
    <xf numFmtId="0" fontId="0" fillId="12" borderId="12" xfId="0" applyFill="1" applyBorder="1" applyAlignment="1">
      <alignment/>
    </xf>
    <xf numFmtId="0" fontId="0" fillId="12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wrapText="1"/>
    </xf>
    <xf numFmtId="0" fontId="0" fillId="16" borderId="10" xfId="0" applyFont="1" applyFill="1" applyBorder="1" applyAlignment="1">
      <alignment wrapText="1"/>
    </xf>
    <xf numFmtId="165" fontId="0" fillId="33" borderId="1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16" borderId="10" xfId="0" applyNumberFormat="1" applyFill="1" applyBorder="1" applyAlignment="1">
      <alignment/>
    </xf>
    <xf numFmtId="165" fontId="0" fillId="33" borderId="12" xfId="0" applyNumberFormat="1" applyFill="1" applyBorder="1" applyAlignment="1">
      <alignment/>
    </xf>
    <xf numFmtId="165" fontId="0" fillId="16" borderId="12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16" borderId="11" xfId="0" applyNumberFormat="1" applyFill="1" applyBorder="1" applyAlignment="1">
      <alignment/>
    </xf>
    <xf numFmtId="0" fontId="0" fillId="12" borderId="10" xfId="0" applyFill="1" applyBorder="1" applyAlignment="1">
      <alignment horizontal="right"/>
    </xf>
    <xf numFmtId="0" fontId="32" fillId="33" borderId="14" xfId="0" applyFont="1" applyFill="1" applyBorder="1" applyAlignment="1">
      <alignment horizontal="center" wrapText="1"/>
    </xf>
    <xf numFmtId="0" fontId="32" fillId="16" borderId="14" xfId="0" applyFont="1" applyFill="1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0">
      <selection activeCell="E2" sqref="E2:E3"/>
    </sheetView>
  </sheetViews>
  <sheetFormatPr defaultColWidth="9.140625" defaultRowHeight="15"/>
  <cols>
    <col min="1" max="1" width="44.8515625" style="0" customWidth="1"/>
    <col min="2" max="2" width="13.7109375" style="0" customWidth="1"/>
    <col min="3" max="3" width="10.8515625" style="0" customWidth="1"/>
    <col min="4" max="4" width="8.7109375" style="0" customWidth="1"/>
    <col min="5" max="5" width="6.421875" style="0" customWidth="1"/>
    <col min="6" max="6" width="6.7109375" style="0" customWidth="1"/>
    <col min="7" max="7" width="5.8515625" style="0" customWidth="1"/>
    <col min="8" max="8" width="18.00390625" style="0" hidden="1" customWidth="1"/>
    <col min="9" max="9" width="0.71875" style="0" customWidth="1"/>
    <col min="10" max="10" width="6.00390625" style="0" hidden="1" customWidth="1"/>
    <col min="11" max="11" width="7.8515625" style="0" customWidth="1"/>
    <col min="12" max="12" width="6.7109375" style="0" customWidth="1"/>
    <col min="13" max="13" width="7.140625" style="0" customWidth="1"/>
    <col min="14" max="14" width="7.8515625" style="0" customWidth="1"/>
    <col min="15" max="15" width="0.2890625" style="0" customWidth="1"/>
    <col min="16" max="16" width="7.57421875" style="0" customWidth="1"/>
    <col min="17" max="18" width="6.57421875" style="0" customWidth="1"/>
    <col min="19" max="19" width="9.7109375" style="0" customWidth="1"/>
    <col min="20" max="20" width="8.140625" style="0" customWidth="1"/>
  </cols>
  <sheetData>
    <row r="1" spans="1:2" ht="15">
      <c r="A1" t="s">
        <v>14</v>
      </c>
      <c r="B1" t="s">
        <v>52</v>
      </c>
    </row>
    <row r="2" spans="1:5" ht="15">
      <c r="A2" t="s">
        <v>15</v>
      </c>
      <c r="B2" t="s">
        <v>56</v>
      </c>
      <c r="E2" t="s">
        <v>53</v>
      </c>
    </row>
    <row r="3" spans="2:5" ht="15">
      <c r="B3" t="s">
        <v>16</v>
      </c>
      <c r="E3" t="s">
        <v>54</v>
      </c>
    </row>
    <row r="4" spans="2:7" ht="15">
      <c r="B4" s="6" t="s">
        <v>41</v>
      </c>
      <c r="C4" s="7"/>
      <c r="D4" s="7"/>
      <c r="E4" s="7"/>
      <c r="F4" s="7"/>
      <c r="G4" s="7"/>
    </row>
    <row r="5" spans="2:7" ht="15">
      <c r="B5" s="9" t="s">
        <v>19</v>
      </c>
      <c r="C5" s="9">
        <v>500</v>
      </c>
      <c r="D5" s="33" t="s">
        <v>17</v>
      </c>
      <c r="E5" s="33"/>
      <c r="F5" s="33"/>
      <c r="G5" s="9">
        <v>100</v>
      </c>
    </row>
    <row r="6" spans="2:7" ht="27.75" customHeight="1">
      <c r="B6" s="8" t="s">
        <v>33</v>
      </c>
      <c r="C6" s="9">
        <v>80</v>
      </c>
      <c r="D6" s="33" t="s">
        <v>18</v>
      </c>
      <c r="E6" s="33"/>
      <c r="F6" s="33"/>
      <c r="G6" s="9">
        <v>10000</v>
      </c>
    </row>
    <row r="7" spans="1:20" ht="26.25" customHeight="1">
      <c r="A7" s="4"/>
      <c r="B7" s="7"/>
      <c r="C7" s="7"/>
      <c r="D7" s="7"/>
      <c r="E7" s="7"/>
      <c r="F7" s="7"/>
      <c r="G7" s="7"/>
      <c r="K7" s="34" t="s">
        <v>43</v>
      </c>
      <c r="L7" s="34"/>
      <c r="M7" s="34"/>
      <c r="N7" s="34"/>
      <c r="P7" s="35" t="s">
        <v>49</v>
      </c>
      <c r="Q7" s="36"/>
      <c r="R7" s="36"/>
      <c r="S7" s="36"/>
      <c r="T7" s="36"/>
    </row>
    <row r="8" spans="1:20" ht="45.75" customHeight="1">
      <c r="A8" t="s">
        <v>22</v>
      </c>
      <c r="B8" s="8" t="s">
        <v>1</v>
      </c>
      <c r="C8" s="9" t="s">
        <v>2</v>
      </c>
      <c r="D8" s="9" t="s">
        <v>3</v>
      </c>
      <c r="E8" s="8" t="s">
        <v>20</v>
      </c>
      <c r="F8" s="9" t="s">
        <v>4</v>
      </c>
      <c r="G8" s="9" t="s">
        <v>5</v>
      </c>
      <c r="H8" s="1" t="s">
        <v>6</v>
      </c>
      <c r="J8" s="13"/>
      <c r="K8" s="14" t="s">
        <v>34</v>
      </c>
      <c r="L8" s="23" t="s">
        <v>44</v>
      </c>
      <c r="M8" s="14" t="s">
        <v>37</v>
      </c>
      <c r="N8" s="14" t="s">
        <v>21</v>
      </c>
      <c r="O8" s="3"/>
      <c r="P8" s="19" t="s">
        <v>34</v>
      </c>
      <c r="Q8" s="24" t="s">
        <v>44</v>
      </c>
      <c r="R8" s="19" t="s">
        <v>36</v>
      </c>
      <c r="S8" s="19" t="s">
        <v>23</v>
      </c>
      <c r="T8" s="19" t="s">
        <v>42</v>
      </c>
    </row>
    <row r="9" spans="1:20" ht="15">
      <c r="A9" t="s">
        <v>24</v>
      </c>
      <c r="B9" s="9" t="s">
        <v>46</v>
      </c>
      <c r="C9" s="9">
        <v>100</v>
      </c>
      <c r="D9" s="9">
        <v>90</v>
      </c>
      <c r="E9" s="9">
        <v>90</v>
      </c>
      <c r="F9" s="9">
        <v>100</v>
      </c>
      <c r="G9" s="9">
        <v>50</v>
      </c>
      <c r="H9" s="2" t="s">
        <v>7</v>
      </c>
      <c r="I9" s="5"/>
      <c r="J9" s="13" t="s">
        <v>0</v>
      </c>
      <c r="K9" s="25">
        <f>F9*$G$5/1000</f>
        <v>10</v>
      </c>
      <c r="L9" s="25">
        <f>(G9-F9)*$G$6/1000</f>
        <v>-500</v>
      </c>
      <c r="M9" s="25">
        <f>E9*($C$6-$G$5)/1000</f>
        <v>-1.8</v>
      </c>
      <c r="N9" s="25">
        <f>SUM(K9:M9)</f>
        <v>-491.8</v>
      </c>
      <c r="O9" s="26"/>
      <c r="P9" s="27">
        <f>K9</f>
        <v>10</v>
      </c>
      <c r="Q9" s="27">
        <f>L9</f>
        <v>-500</v>
      </c>
      <c r="R9" s="27">
        <f>IF($G$5&gt;$C$6,E9*($C$6-MIN($G$5,$C$5)),E9*($C$6-$G$5))/1000</f>
        <v>-1.8</v>
      </c>
      <c r="S9" s="27">
        <f>-(MIN(F9,D9)*(MAX(($G$5-$C$5),0))+(MAX(D9-F9,0)*(MAX(($G$6-$C$5),0))))*$D$21/1000</f>
        <v>0</v>
      </c>
      <c r="T9" s="27">
        <f>SUM(P9:S9)</f>
        <v>-491.8</v>
      </c>
    </row>
    <row r="10" spans="1:20" ht="15">
      <c r="A10" t="s">
        <v>25</v>
      </c>
      <c r="B10" s="9" t="s">
        <v>47</v>
      </c>
      <c r="C10" s="9">
        <v>100</v>
      </c>
      <c r="D10" s="9">
        <v>90</v>
      </c>
      <c r="E10" s="9">
        <v>90</v>
      </c>
      <c r="F10" s="9">
        <v>100</v>
      </c>
      <c r="G10" s="9">
        <v>100</v>
      </c>
      <c r="H10" s="2"/>
      <c r="I10" s="5"/>
      <c r="J10" s="13" t="s">
        <v>26</v>
      </c>
      <c r="K10" s="25">
        <f>F10*$G$5/1000</f>
        <v>10</v>
      </c>
      <c r="L10" s="25">
        <f>(G10-F10)*$G$6/1000</f>
        <v>0</v>
      </c>
      <c r="M10" s="25">
        <f>E10*($C$6-$G$5)/1000</f>
        <v>-1.8</v>
      </c>
      <c r="N10" s="25">
        <f>SUM(K10:M10)</f>
        <v>8.2</v>
      </c>
      <c r="O10" s="26"/>
      <c r="P10" s="27">
        <f>K10</f>
        <v>10</v>
      </c>
      <c r="Q10" s="27">
        <f>L10</f>
        <v>0</v>
      </c>
      <c r="R10" s="27">
        <f>IF($G$5&gt;$C$6,E10*($C$6-MIN($G$5,$C$5)),E10*($C$6-$G$5))/1000</f>
        <v>-1.8</v>
      </c>
      <c r="S10" s="27">
        <f>-(MIN(F10,D10)*(MAX(($G$5-$C$5),0))+(MAX(D10-F10,0)*(MAX(($G$6-$C$5),0))))*$D$21/1000</f>
        <v>0</v>
      </c>
      <c r="T10" s="27">
        <f>SUM(P10:S10)</f>
        <v>8.2</v>
      </c>
    </row>
    <row r="11" spans="1:20" ht="15">
      <c r="A11" t="s">
        <v>27</v>
      </c>
      <c r="B11" s="9" t="s">
        <v>48</v>
      </c>
      <c r="C11" s="9">
        <v>100</v>
      </c>
      <c r="D11" s="9">
        <v>90</v>
      </c>
      <c r="E11" s="9">
        <v>20</v>
      </c>
      <c r="F11" s="9">
        <v>10</v>
      </c>
      <c r="G11" s="9">
        <v>100</v>
      </c>
      <c r="H11" s="2"/>
      <c r="I11" s="5"/>
      <c r="J11" s="13" t="s">
        <v>28</v>
      </c>
      <c r="K11" s="25">
        <f>F11*$G$5/1000</f>
        <v>1</v>
      </c>
      <c r="L11" s="25">
        <f>(G11-F11)*$G$6/1000</f>
        <v>900</v>
      </c>
      <c r="M11" s="25">
        <f>E11*($C$6-$G$5)/1000</f>
        <v>-0.4</v>
      </c>
      <c r="N11" s="25">
        <f>SUM(K11:M11)</f>
        <v>900.6</v>
      </c>
      <c r="O11" s="26"/>
      <c r="P11" s="27">
        <f>K11</f>
        <v>1</v>
      </c>
      <c r="Q11" s="27">
        <f>L11</f>
        <v>900</v>
      </c>
      <c r="R11" s="27">
        <f>IF($G$5&gt;$C$6,E11*($C$6-MIN($G$5,$C$5)),E11*($C$6-$G$5))/1000</f>
        <v>-0.4</v>
      </c>
      <c r="S11" s="27">
        <f>-(MIN(F11,D11)*(MAX(($G$5-$C$5),0))+(MAX(D11-F11,0)*(MAX(($G$6-$C$5),0))))*$D$21/1000</f>
        <v>-760</v>
      </c>
      <c r="T11" s="27">
        <f>SUM(P11:S11)</f>
        <v>140.60000000000002</v>
      </c>
    </row>
    <row r="12" spans="1:20" ht="15.75" thickBot="1">
      <c r="A12" t="s">
        <v>51</v>
      </c>
      <c r="B12" s="21" t="s">
        <v>8</v>
      </c>
      <c r="C12" s="21">
        <v>100</v>
      </c>
      <c r="D12" s="21">
        <v>10</v>
      </c>
      <c r="E12" s="21"/>
      <c r="F12" s="21">
        <v>30</v>
      </c>
      <c r="G12" s="21">
        <v>30</v>
      </c>
      <c r="H12" s="2" t="s">
        <v>35</v>
      </c>
      <c r="I12" s="5"/>
      <c r="J12" s="15" t="s">
        <v>30</v>
      </c>
      <c r="K12" s="28">
        <f>F12*$G$5/1000</f>
        <v>3</v>
      </c>
      <c r="L12" s="28">
        <f>(G12-F12)*$G$6/1000</f>
        <v>0</v>
      </c>
      <c r="M12" s="28">
        <f>E12*($C$6-$G$5)/1000</f>
        <v>0</v>
      </c>
      <c r="N12" s="28">
        <f>SUM(K12:M12)</f>
        <v>3</v>
      </c>
      <c r="O12" s="26"/>
      <c r="P12" s="29">
        <f>K12</f>
        <v>3</v>
      </c>
      <c r="Q12" s="29">
        <f>L12</f>
        <v>0</v>
      </c>
      <c r="R12" s="29">
        <f>IF($G$5&gt;$C$6,E12*($C$6-MIN($G$5,$C$5)),E12*($C$6-$G$5))/1000</f>
        <v>0</v>
      </c>
      <c r="S12" s="29">
        <f>-(MIN(F12,D12)*(MAX(($G$5-$C$5),0))+(MAX(D12-F12,0)*(MAX(($G$6-$C$5),0))))*$D$21/1000</f>
        <v>0</v>
      </c>
      <c r="T12" s="29">
        <f>SUM(P12:S12)</f>
        <v>3</v>
      </c>
    </row>
    <row r="13" spans="2:20" ht="15.75" thickTop="1">
      <c r="B13" s="10" t="s">
        <v>9</v>
      </c>
      <c r="C13" s="10">
        <f>SUM(C9:C12)</f>
        <v>400</v>
      </c>
      <c r="D13" s="10">
        <f>SUM(D9:D12)</f>
        <v>280</v>
      </c>
      <c r="E13" s="10">
        <v>200</v>
      </c>
      <c r="F13" s="10">
        <f>SUM(F9:F12)</f>
        <v>240</v>
      </c>
      <c r="G13" s="10">
        <v>280</v>
      </c>
      <c r="H13" s="2"/>
      <c r="I13" s="5"/>
      <c r="J13" s="16" t="s">
        <v>9</v>
      </c>
      <c r="K13" s="30">
        <f>SUM(K9:K12)</f>
        <v>24</v>
      </c>
      <c r="L13" s="30">
        <f aca="true" t="shared" si="0" ref="L13:T13">SUM(L9:L12)</f>
        <v>400</v>
      </c>
      <c r="M13" s="30">
        <f t="shared" si="0"/>
        <v>-4</v>
      </c>
      <c r="N13" s="30">
        <f t="shared" si="0"/>
        <v>420</v>
      </c>
      <c r="O13" s="31"/>
      <c r="P13" s="32">
        <f t="shared" si="0"/>
        <v>24</v>
      </c>
      <c r="Q13" s="32">
        <f t="shared" si="0"/>
        <v>400</v>
      </c>
      <c r="R13" s="32">
        <f t="shared" si="0"/>
        <v>-4</v>
      </c>
      <c r="S13" s="32">
        <f t="shared" si="0"/>
        <v>-760</v>
      </c>
      <c r="T13" s="32">
        <f t="shared" si="0"/>
        <v>-340</v>
      </c>
    </row>
    <row r="14" spans="2:20" ht="6" customHeight="1">
      <c r="B14" s="7"/>
      <c r="C14" s="7"/>
      <c r="D14" s="7"/>
      <c r="E14" s="7"/>
      <c r="F14" s="7"/>
      <c r="G14" s="7"/>
      <c r="H14" s="5"/>
      <c r="I14" s="5"/>
      <c r="J14" s="12"/>
      <c r="K14" s="17"/>
      <c r="L14" s="12"/>
      <c r="M14" s="12"/>
      <c r="N14" s="12"/>
      <c r="O14" s="5"/>
      <c r="P14" s="18"/>
      <c r="Q14" s="18"/>
      <c r="R14" s="18"/>
      <c r="S14" s="20"/>
      <c r="T14" s="20"/>
    </row>
    <row r="15" spans="2:20" ht="27.75" customHeight="1">
      <c r="B15" s="7"/>
      <c r="C15" s="7"/>
      <c r="D15" s="7"/>
      <c r="E15" s="7"/>
      <c r="F15" s="7"/>
      <c r="G15" s="7"/>
      <c r="H15" s="5"/>
      <c r="I15" s="5"/>
      <c r="J15" s="11" t="s">
        <v>40</v>
      </c>
      <c r="K15" s="34" t="s">
        <v>45</v>
      </c>
      <c r="L15" s="34"/>
      <c r="M15" s="34"/>
      <c r="N15" s="34"/>
      <c r="O15" s="5"/>
      <c r="P15" s="35" t="s">
        <v>50</v>
      </c>
      <c r="Q15" s="36"/>
      <c r="R15" s="36"/>
      <c r="S15" s="36"/>
      <c r="T15" s="36"/>
    </row>
    <row r="16" spans="2:20" ht="43.5" customHeight="1">
      <c r="B16" s="9" t="s">
        <v>10</v>
      </c>
      <c r="C16" s="9"/>
      <c r="D16" s="22" t="s">
        <v>11</v>
      </c>
      <c r="E16" s="22" t="s">
        <v>20</v>
      </c>
      <c r="F16" s="22" t="s">
        <v>4</v>
      </c>
      <c r="G16" s="22" t="s">
        <v>5</v>
      </c>
      <c r="H16" s="5"/>
      <c r="I16" s="5"/>
      <c r="J16" s="13"/>
      <c r="K16" s="14" t="s">
        <v>34</v>
      </c>
      <c r="L16" s="23" t="s">
        <v>44</v>
      </c>
      <c r="M16" s="14" t="s">
        <v>37</v>
      </c>
      <c r="N16" s="14" t="s">
        <v>21</v>
      </c>
      <c r="O16" s="3"/>
      <c r="P16" s="19" t="s">
        <v>34</v>
      </c>
      <c r="Q16" s="24" t="s">
        <v>44</v>
      </c>
      <c r="R16" s="19" t="s">
        <v>36</v>
      </c>
      <c r="S16" s="19" t="s">
        <v>23</v>
      </c>
      <c r="T16" s="19" t="s">
        <v>42</v>
      </c>
    </row>
    <row r="17" spans="2:20" ht="15">
      <c r="B17" s="9" t="s">
        <v>12</v>
      </c>
      <c r="C17" s="9"/>
      <c r="D17" s="9">
        <f>G17*$D$22</f>
        <v>140</v>
      </c>
      <c r="E17" s="9">
        <v>100</v>
      </c>
      <c r="F17" s="9">
        <v>120</v>
      </c>
      <c r="G17" s="9">
        <v>140</v>
      </c>
      <c r="H17" s="5"/>
      <c r="I17" s="5"/>
      <c r="J17" s="13" t="s">
        <v>12</v>
      </c>
      <c r="K17" s="25">
        <f>-F17*$G$5/1000</f>
        <v>-12</v>
      </c>
      <c r="L17" s="25">
        <f>-(G17-F17)*$G$6/1000</f>
        <v>-200</v>
      </c>
      <c r="M17" s="25">
        <f>E17*($G$5-$C$6)/1000</f>
        <v>2</v>
      </c>
      <c r="N17" s="25">
        <f>SUM(K17:M17)</f>
        <v>-210</v>
      </c>
      <c r="O17" s="26"/>
      <c r="P17" s="27">
        <f>K17</f>
        <v>-12</v>
      </c>
      <c r="Q17" s="27">
        <f>L17</f>
        <v>-200</v>
      </c>
      <c r="R17" s="27">
        <f>IF($G$5&gt;$C$6,-E17*($C$6-MIN($G$5,$C$5)),E17*($G$5-$C$6))/1000</f>
        <v>2</v>
      </c>
      <c r="S17" s="27">
        <f>(MIN(D17,F17)*(MAX(($G$5-$C$5),0))+(MAX(D17-F17,0)*(MAX(($G$6-$C$5),0))))*$D$22/1000</f>
        <v>190</v>
      </c>
      <c r="T17" s="27">
        <f>SUM(P17:S17)</f>
        <v>-20</v>
      </c>
    </row>
    <row r="18" spans="2:20" ht="15.75" thickBot="1">
      <c r="B18" s="21" t="s">
        <v>13</v>
      </c>
      <c r="C18" s="21"/>
      <c r="D18" s="21">
        <f>G18*$D$22</f>
        <v>140</v>
      </c>
      <c r="E18" s="21">
        <v>100</v>
      </c>
      <c r="F18" s="21">
        <v>120</v>
      </c>
      <c r="G18" s="21">
        <v>140</v>
      </c>
      <c r="H18" s="5"/>
      <c r="I18" s="5"/>
      <c r="J18" s="15" t="s">
        <v>13</v>
      </c>
      <c r="K18" s="28">
        <f>-F18*$G$5/1000</f>
        <v>-12</v>
      </c>
      <c r="L18" s="28">
        <f>-(G18-F18)*$G$6/1000</f>
        <v>-200</v>
      </c>
      <c r="M18" s="28">
        <f>E18*($G$5-$C$6)/1000</f>
        <v>2</v>
      </c>
      <c r="N18" s="28">
        <f>SUM(K18:M18)</f>
        <v>-210</v>
      </c>
      <c r="O18" s="26"/>
      <c r="P18" s="29">
        <f>K18</f>
        <v>-12</v>
      </c>
      <c r="Q18" s="29">
        <f>L18</f>
        <v>-200</v>
      </c>
      <c r="R18" s="29">
        <f>IF($G$5&gt;$C$6,-E18*($C$6-MIN($G$5,$C$5)),E18*($G$5-$C$6))/1000</f>
        <v>2</v>
      </c>
      <c r="S18" s="29">
        <f>(MIN(D18,F18)*(MAX(($G$5-$C$5),0))+(MAX(D18-F18,0)*(MAX(($G$6-$C$5),0))))*$D$22/1000</f>
        <v>190</v>
      </c>
      <c r="T18" s="29">
        <f>SUM(P18:S18)</f>
        <v>-20</v>
      </c>
    </row>
    <row r="19" spans="2:20" ht="15.75" thickTop="1">
      <c r="B19" s="10" t="s">
        <v>9</v>
      </c>
      <c r="C19" s="10"/>
      <c r="D19" s="10">
        <f>SUM(D17:D18)</f>
        <v>280</v>
      </c>
      <c r="E19" s="10">
        <f>SUM(E17:E18)</f>
        <v>200</v>
      </c>
      <c r="F19" s="10">
        <f>SUM(F17:F18)</f>
        <v>240</v>
      </c>
      <c r="G19" s="10">
        <f>SUM(G17:G18)</f>
        <v>280</v>
      </c>
      <c r="H19" s="5"/>
      <c r="I19" s="5"/>
      <c r="J19" s="16" t="s">
        <v>9</v>
      </c>
      <c r="K19" s="30">
        <f>SUM(K17:K18)</f>
        <v>-24</v>
      </c>
      <c r="L19" s="30">
        <f>SUM(L17:L18)</f>
        <v>-400</v>
      </c>
      <c r="M19" s="30">
        <f>SUM(M17:M18)</f>
        <v>4</v>
      </c>
      <c r="N19" s="30">
        <f>SUM(N17:N18)</f>
        <v>-420</v>
      </c>
      <c r="O19" s="31"/>
      <c r="P19" s="32">
        <f>SUM(P17:P18)</f>
        <v>-24</v>
      </c>
      <c r="Q19" s="32">
        <f>SUM(Q17:Q18)</f>
        <v>-400</v>
      </c>
      <c r="R19" s="32">
        <f>SUM(R17:R18)</f>
        <v>4</v>
      </c>
      <c r="S19" s="32">
        <f>SUM(S17:S18)</f>
        <v>380</v>
      </c>
      <c r="T19" s="32">
        <f>SUM(T17:T18)</f>
        <v>-40</v>
      </c>
    </row>
    <row r="20" spans="2:19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ht="15">
      <c r="B21" s="5" t="s">
        <v>31</v>
      </c>
      <c r="C21" s="5"/>
      <c r="D21" s="5">
        <f>G19/D13</f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ht="15">
      <c r="B22" s="5" t="s">
        <v>32</v>
      </c>
      <c r="C22" s="5"/>
      <c r="D22" s="5">
        <f>MIN(D13/G19,1)</f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</sheetData>
  <sheetProtection/>
  <mergeCells count="6">
    <mergeCell ref="D5:F5"/>
    <mergeCell ref="D6:F6"/>
    <mergeCell ref="K15:N15"/>
    <mergeCell ref="P15:T15"/>
    <mergeCell ref="K7:N7"/>
    <mergeCell ref="P7:T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zoomScalePageLayoutView="0" workbookViewId="0" topLeftCell="B1">
      <selection activeCell="T6" sqref="T6"/>
    </sheetView>
  </sheetViews>
  <sheetFormatPr defaultColWidth="9.140625" defaultRowHeight="15"/>
  <cols>
    <col min="1" max="1" width="44.8515625" style="0" customWidth="1"/>
    <col min="2" max="2" width="13.421875" style="0" customWidth="1"/>
    <col min="3" max="3" width="10.7109375" style="0" customWidth="1"/>
    <col min="4" max="4" width="8.7109375" style="0" customWidth="1"/>
    <col min="5" max="5" width="6.421875" style="0" customWidth="1"/>
    <col min="6" max="6" width="5.140625" style="0" customWidth="1"/>
    <col min="7" max="7" width="5.8515625" style="0" customWidth="1"/>
    <col min="8" max="8" width="19.421875" style="0" hidden="1" customWidth="1"/>
    <col min="9" max="9" width="0.85546875" style="0" customWidth="1"/>
    <col min="10" max="10" width="0" style="0" hidden="1" customWidth="1"/>
    <col min="11" max="11" width="7.8515625" style="0" customWidth="1"/>
    <col min="12" max="12" width="4.28125" style="0" customWidth="1"/>
    <col min="13" max="13" width="8.7109375" style="0" customWidth="1"/>
    <col min="14" max="14" width="7.8515625" style="0" customWidth="1"/>
    <col min="15" max="15" width="0.5625" style="0" customWidth="1"/>
    <col min="16" max="16" width="7.57421875" style="0" customWidth="1"/>
    <col min="17" max="17" width="4.7109375" style="0" customWidth="1"/>
    <col min="18" max="18" width="6.57421875" style="0" customWidth="1"/>
    <col min="19" max="19" width="9.7109375" style="0" customWidth="1"/>
    <col min="20" max="20" width="8.140625" style="0" customWidth="1"/>
  </cols>
  <sheetData>
    <row r="1" spans="1:2" ht="15">
      <c r="A1" t="s">
        <v>14</v>
      </c>
      <c r="B1" t="s">
        <v>52</v>
      </c>
    </row>
    <row r="2" spans="1:5" ht="15">
      <c r="A2" t="s">
        <v>15</v>
      </c>
      <c r="B2" t="s">
        <v>56</v>
      </c>
      <c r="E2" t="s">
        <v>54</v>
      </c>
    </row>
    <row r="3" spans="2:5" ht="15">
      <c r="B3" t="s">
        <v>16</v>
      </c>
      <c r="E3" t="s">
        <v>55</v>
      </c>
    </row>
    <row r="4" spans="2:7" ht="15">
      <c r="B4" s="6" t="s">
        <v>41</v>
      </c>
      <c r="C4" s="7"/>
      <c r="D4" s="7"/>
      <c r="E4" s="7"/>
      <c r="F4" s="7"/>
      <c r="G4" s="7"/>
    </row>
    <row r="5" spans="2:7" ht="15">
      <c r="B5" s="9" t="s">
        <v>19</v>
      </c>
      <c r="C5" s="9">
        <v>500</v>
      </c>
      <c r="D5" s="33" t="s">
        <v>17</v>
      </c>
      <c r="E5" s="33"/>
      <c r="F5" s="33"/>
      <c r="G5" s="9">
        <v>10000</v>
      </c>
    </row>
    <row r="6" spans="2:7" ht="30">
      <c r="B6" s="8" t="s">
        <v>33</v>
      </c>
      <c r="C6" s="9">
        <v>80</v>
      </c>
      <c r="D6" s="33" t="s">
        <v>18</v>
      </c>
      <c r="E6" s="33"/>
      <c r="F6" s="33"/>
      <c r="G6" s="9">
        <v>10000</v>
      </c>
    </row>
    <row r="7" spans="1:20" ht="26.25" customHeight="1">
      <c r="A7" s="4"/>
      <c r="B7" s="7"/>
      <c r="C7" s="7"/>
      <c r="D7" s="7"/>
      <c r="E7" s="7"/>
      <c r="F7" s="7"/>
      <c r="G7" s="7"/>
      <c r="K7" s="34" t="s">
        <v>43</v>
      </c>
      <c r="L7" s="34"/>
      <c r="M7" s="34"/>
      <c r="N7" s="34"/>
      <c r="P7" s="35" t="s">
        <v>38</v>
      </c>
      <c r="Q7" s="36"/>
      <c r="R7" s="36"/>
      <c r="S7" s="36"/>
      <c r="T7" s="36"/>
    </row>
    <row r="8" spans="1:20" ht="45" customHeight="1">
      <c r="A8" t="s">
        <v>22</v>
      </c>
      <c r="B8" s="9" t="s">
        <v>1</v>
      </c>
      <c r="C8" s="9" t="s">
        <v>2</v>
      </c>
      <c r="D8" s="9" t="s">
        <v>3</v>
      </c>
      <c r="E8" s="8" t="s">
        <v>20</v>
      </c>
      <c r="F8" s="9" t="s">
        <v>4</v>
      </c>
      <c r="G8" s="9" t="s">
        <v>5</v>
      </c>
      <c r="H8" s="1" t="s">
        <v>6</v>
      </c>
      <c r="J8" s="13"/>
      <c r="K8" s="14" t="s">
        <v>34</v>
      </c>
      <c r="L8" s="14" t="s">
        <v>44</v>
      </c>
      <c r="M8" s="14" t="s">
        <v>37</v>
      </c>
      <c r="N8" s="14" t="s">
        <v>21</v>
      </c>
      <c r="O8" s="3"/>
      <c r="P8" s="19" t="s">
        <v>34</v>
      </c>
      <c r="Q8" s="19" t="s">
        <v>44</v>
      </c>
      <c r="R8" s="19" t="s">
        <v>36</v>
      </c>
      <c r="S8" s="19" t="s">
        <v>23</v>
      </c>
      <c r="T8" s="19" t="s">
        <v>42</v>
      </c>
    </row>
    <row r="9" spans="1:20" ht="15">
      <c r="A9" t="s">
        <v>24</v>
      </c>
      <c r="B9" s="9" t="s">
        <v>46</v>
      </c>
      <c r="C9" s="9">
        <v>100</v>
      </c>
      <c r="D9" s="9">
        <v>90</v>
      </c>
      <c r="E9" s="9">
        <v>90</v>
      </c>
      <c r="F9" s="9">
        <v>50</v>
      </c>
      <c r="G9" s="9">
        <v>50</v>
      </c>
      <c r="H9" s="2" t="s">
        <v>7</v>
      </c>
      <c r="I9" s="5"/>
      <c r="J9" s="13" t="s">
        <v>0</v>
      </c>
      <c r="K9" s="25">
        <f>F9*$G$5/1000</f>
        <v>500</v>
      </c>
      <c r="L9" s="25">
        <f>(G9-F9)*$G$6/1000</f>
        <v>0</v>
      </c>
      <c r="M9" s="25">
        <f>E9*($C$6-$G$5)/1000</f>
        <v>-892.8</v>
      </c>
      <c r="N9" s="25">
        <f>SUM(K9:M9)</f>
        <v>-392.79999999999995</v>
      </c>
      <c r="O9" s="26"/>
      <c r="P9" s="27">
        <f>F9*$G$5/1000</f>
        <v>500</v>
      </c>
      <c r="Q9" s="27">
        <f>(G9-F9)*$G$6/1000</f>
        <v>0</v>
      </c>
      <c r="R9" s="27">
        <f>IF($G$5&gt;$C$6,E9*($C$6-MIN($G$5,$C$5)),E9*($C$6-$G$5))/1000</f>
        <v>-37.8</v>
      </c>
      <c r="S9" s="27">
        <f>-(MIN(F9,D9)*(MAX(($G$5-$C$5),0))+(MAX(D9-F9,0)*(MAX(($G$6-$C$5),0))))*$D$21/1000</f>
        <v>-855</v>
      </c>
      <c r="T9" s="27">
        <f>SUM(P9:S9)</f>
        <v>-392.8</v>
      </c>
    </row>
    <row r="10" spans="1:20" ht="15">
      <c r="A10" t="s">
        <v>25</v>
      </c>
      <c r="B10" s="9" t="s">
        <v>47</v>
      </c>
      <c r="C10" s="9">
        <v>100</v>
      </c>
      <c r="D10" s="9">
        <v>90</v>
      </c>
      <c r="E10" s="9">
        <v>90</v>
      </c>
      <c r="F10" s="9">
        <v>100</v>
      </c>
      <c r="G10" s="9">
        <v>100</v>
      </c>
      <c r="H10" s="2"/>
      <c r="I10" s="5"/>
      <c r="J10" s="13" t="s">
        <v>26</v>
      </c>
      <c r="K10" s="25">
        <f>F10*$G$5/1000</f>
        <v>1000</v>
      </c>
      <c r="L10" s="25">
        <f>(G10-F10)*$G$6/1000</f>
        <v>0</v>
      </c>
      <c r="M10" s="25">
        <f>E10*($C$6-$G$5)/1000</f>
        <v>-892.8</v>
      </c>
      <c r="N10" s="25">
        <f>SUM(K10:M10)</f>
        <v>107.20000000000005</v>
      </c>
      <c r="O10" s="26"/>
      <c r="P10" s="27">
        <f>F10*$G$5/1000</f>
        <v>1000</v>
      </c>
      <c r="Q10" s="27">
        <f>(G10-F10)*$G$6/1000</f>
        <v>0</v>
      </c>
      <c r="R10" s="27">
        <f>IF($G$5&gt;$C$6,E10*($C$6-MIN($G$5,$C$5)),E10*($C$6-$G$5))/1000</f>
        <v>-37.8</v>
      </c>
      <c r="S10" s="27">
        <f>-(MIN(F10,D10)*(MAX(($G$5-$C$5),0))+(MAX(D10-F10,0)*(MAX(($G$6-$C$5),0))))*$D$21/1000</f>
        <v>-855</v>
      </c>
      <c r="T10" s="27">
        <f>SUM(P10:S10)</f>
        <v>107.20000000000005</v>
      </c>
    </row>
    <row r="11" spans="1:20" ht="15">
      <c r="A11" t="s">
        <v>27</v>
      </c>
      <c r="B11" s="9" t="s">
        <v>48</v>
      </c>
      <c r="C11" s="9">
        <v>100</v>
      </c>
      <c r="D11" s="9">
        <v>90</v>
      </c>
      <c r="E11" s="9">
        <v>20</v>
      </c>
      <c r="F11" s="9">
        <v>100</v>
      </c>
      <c r="G11" s="9">
        <v>100</v>
      </c>
      <c r="H11" s="2"/>
      <c r="I11" s="5"/>
      <c r="J11" s="13" t="s">
        <v>28</v>
      </c>
      <c r="K11" s="25">
        <f>F11*$G$5/1000</f>
        <v>1000</v>
      </c>
      <c r="L11" s="25">
        <f>(G11-F11)*$G$6/1000</f>
        <v>0</v>
      </c>
      <c r="M11" s="25">
        <f>E11*($C$6-$G$5)/1000</f>
        <v>-198.4</v>
      </c>
      <c r="N11" s="25">
        <f>SUM(K11:M11)</f>
        <v>801.6</v>
      </c>
      <c r="O11" s="26"/>
      <c r="P11" s="27">
        <f>F11*$G$5/1000</f>
        <v>1000</v>
      </c>
      <c r="Q11" s="27">
        <f>(G11-F11)*$G$6/1000</f>
        <v>0</v>
      </c>
      <c r="R11" s="27">
        <f>IF($G$5&gt;$C$6,E11*($C$6-MIN($G$5,$C$5)),E11*($C$6-$G$5))/1000</f>
        <v>-8.4</v>
      </c>
      <c r="S11" s="27">
        <f>-(MIN(F11,D11)*(MAX(($G$5-$C$5),0))+(MAX(D11-F11,0)*(MAX(($G$6-$C$5),0))))*$D$21/1000</f>
        <v>-855</v>
      </c>
      <c r="T11" s="27">
        <f>SUM(P11:S11)</f>
        <v>136.60000000000002</v>
      </c>
    </row>
    <row r="12" spans="1:20" ht="15.75" thickBot="1">
      <c r="A12" t="s">
        <v>29</v>
      </c>
      <c r="B12" s="21" t="s">
        <v>8</v>
      </c>
      <c r="C12" s="21">
        <v>100</v>
      </c>
      <c r="D12" s="21">
        <v>10</v>
      </c>
      <c r="E12" s="21"/>
      <c r="F12" s="21">
        <v>30</v>
      </c>
      <c r="G12" s="21">
        <v>30</v>
      </c>
      <c r="H12" s="2" t="s">
        <v>35</v>
      </c>
      <c r="I12" s="5"/>
      <c r="J12" s="15" t="s">
        <v>30</v>
      </c>
      <c r="K12" s="28">
        <f>F12*$G$5/1000</f>
        <v>300</v>
      </c>
      <c r="L12" s="28">
        <f>(G12-F12)*$G$6/1000</f>
        <v>0</v>
      </c>
      <c r="M12" s="28">
        <f>E12*($C$6-$G$5)/1000</f>
        <v>0</v>
      </c>
      <c r="N12" s="28">
        <f>SUM(K12:M12)</f>
        <v>300</v>
      </c>
      <c r="O12" s="26"/>
      <c r="P12" s="29">
        <f>F12*$G$5/1000</f>
        <v>300</v>
      </c>
      <c r="Q12" s="29">
        <f>(G12-F12)*$G$6/1000</f>
        <v>0</v>
      </c>
      <c r="R12" s="29">
        <f>IF($G$5&gt;$C$6,E12*($C$6-MIN($G$5,$C$5)),E12*($C$6-$G$5))/1000</f>
        <v>0</v>
      </c>
      <c r="S12" s="29">
        <f>-(MIN(F12,D12)*(MAX(($G$5-$C$5),0))+(MAX(D12-F12,0)*(MAX(($G$6-$C$5),0))))*$D$21/1000</f>
        <v>-95</v>
      </c>
      <c r="T12" s="29">
        <f>SUM(P12:S12)</f>
        <v>205</v>
      </c>
    </row>
    <row r="13" spans="2:20" ht="15.75" thickTop="1">
      <c r="B13" s="10" t="s">
        <v>9</v>
      </c>
      <c r="C13" s="10">
        <f>SUM(C9:C12)</f>
        <v>400</v>
      </c>
      <c r="D13" s="10">
        <f>SUM(D9:D12)</f>
        <v>280</v>
      </c>
      <c r="E13" s="10">
        <v>200</v>
      </c>
      <c r="F13" s="10">
        <f>SUM(F9:F12)</f>
        <v>280</v>
      </c>
      <c r="G13" s="10">
        <v>280</v>
      </c>
      <c r="H13" s="2"/>
      <c r="I13" s="5"/>
      <c r="J13" s="16" t="s">
        <v>9</v>
      </c>
      <c r="K13" s="30">
        <f>SUM(K9:K12)</f>
        <v>2800</v>
      </c>
      <c r="L13" s="30">
        <f aca="true" t="shared" si="0" ref="L13:T13">SUM(L9:L12)</f>
        <v>0</v>
      </c>
      <c r="M13" s="30">
        <f t="shared" si="0"/>
        <v>-1984</v>
      </c>
      <c r="N13" s="30">
        <f t="shared" si="0"/>
        <v>816.0000000000001</v>
      </c>
      <c r="O13" s="31"/>
      <c r="P13" s="32">
        <f t="shared" si="0"/>
        <v>2800</v>
      </c>
      <c r="Q13" s="32">
        <f t="shared" si="0"/>
        <v>0</v>
      </c>
      <c r="R13" s="32">
        <f t="shared" si="0"/>
        <v>-84</v>
      </c>
      <c r="S13" s="32">
        <f t="shared" si="0"/>
        <v>-2660</v>
      </c>
      <c r="T13" s="32">
        <f t="shared" si="0"/>
        <v>56.00000000000006</v>
      </c>
    </row>
    <row r="14" spans="2:20" ht="5.25" customHeight="1">
      <c r="B14" s="7"/>
      <c r="C14" s="7"/>
      <c r="D14" s="7"/>
      <c r="E14" s="7"/>
      <c r="F14" s="7"/>
      <c r="G14" s="7"/>
      <c r="H14" s="5"/>
      <c r="I14" s="5"/>
      <c r="J14" s="12"/>
      <c r="K14" s="17"/>
      <c r="L14" s="12"/>
      <c r="M14" s="12"/>
      <c r="N14" s="12"/>
      <c r="O14" s="5"/>
      <c r="P14" s="18"/>
      <c r="Q14" s="18"/>
      <c r="R14" s="18"/>
      <c r="S14" s="20"/>
      <c r="T14" s="20"/>
    </row>
    <row r="15" spans="2:20" ht="27.75" customHeight="1">
      <c r="B15" s="7"/>
      <c r="C15" s="7"/>
      <c r="D15" s="7"/>
      <c r="E15" s="7"/>
      <c r="F15" s="7"/>
      <c r="G15" s="7"/>
      <c r="H15" s="5"/>
      <c r="I15" s="5"/>
      <c r="J15" s="11" t="s">
        <v>40</v>
      </c>
      <c r="K15" s="34" t="s">
        <v>45</v>
      </c>
      <c r="L15" s="34"/>
      <c r="M15" s="34"/>
      <c r="N15" s="34"/>
      <c r="O15" s="5"/>
      <c r="P15" s="35" t="s">
        <v>39</v>
      </c>
      <c r="Q15" s="36"/>
      <c r="R15" s="36"/>
      <c r="S15" s="36"/>
      <c r="T15" s="36"/>
    </row>
    <row r="16" spans="2:20" ht="45.75" customHeight="1">
      <c r="B16" s="9" t="s">
        <v>10</v>
      </c>
      <c r="C16" s="9"/>
      <c r="D16" s="22" t="s">
        <v>11</v>
      </c>
      <c r="E16" s="22" t="s">
        <v>20</v>
      </c>
      <c r="F16" s="22" t="s">
        <v>4</v>
      </c>
      <c r="G16" s="22" t="s">
        <v>5</v>
      </c>
      <c r="H16" s="5"/>
      <c r="I16" s="5"/>
      <c r="J16" s="13"/>
      <c r="K16" s="14" t="s">
        <v>34</v>
      </c>
      <c r="L16" s="14" t="s">
        <v>44</v>
      </c>
      <c r="M16" s="14" t="s">
        <v>37</v>
      </c>
      <c r="N16" s="14" t="s">
        <v>21</v>
      </c>
      <c r="O16" s="3"/>
      <c r="P16" s="19" t="s">
        <v>34</v>
      </c>
      <c r="Q16" s="19" t="s">
        <v>44</v>
      </c>
      <c r="R16" s="19" t="s">
        <v>36</v>
      </c>
      <c r="S16" s="19" t="s">
        <v>23</v>
      </c>
      <c r="T16" s="19" t="s">
        <v>42</v>
      </c>
    </row>
    <row r="17" spans="2:20" ht="15">
      <c r="B17" s="9" t="s">
        <v>12</v>
      </c>
      <c r="C17" s="9"/>
      <c r="D17" s="9">
        <f>G17*$D$22</f>
        <v>140</v>
      </c>
      <c r="E17" s="9">
        <v>100</v>
      </c>
      <c r="F17" s="9">
        <v>140</v>
      </c>
      <c r="G17" s="9">
        <v>140</v>
      </c>
      <c r="H17" s="5"/>
      <c r="I17" s="5"/>
      <c r="J17" s="13" t="s">
        <v>12</v>
      </c>
      <c r="K17" s="25">
        <f>-F17*$G$5/1000</f>
        <v>-1400</v>
      </c>
      <c r="L17" s="25">
        <f>-(G17-F17)*$G$6/1000</f>
        <v>0</v>
      </c>
      <c r="M17" s="25">
        <f>E17*($G$5-$C$6)/1000</f>
        <v>992</v>
      </c>
      <c r="N17" s="25">
        <f>SUM(K17:M17)</f>
        <v>-408</v>
      </c>
      <c r="O17" s="26"/>
      <c r="P17" s="27">
        <f>-F17*$G$5/1000</f>
        <v>-1400</v>
      </c>
      <c r="Q17" s="27">
        <f>-(G17-F17)*$G$6/1000</f>
        <v>0</v>
      </c>
      <c r="R17" s="27">
        <f>IF($G$5&gt;$C$6,-E17*($C$6-MIN($G$5,$C$5)),E17*($G$5-$C$6))/1000</f>
        <v>42</v>
      </c>
      <c r="S17" s="27">
        <f>(MIN(D17,F17)*(MAX(($G$5-$C$5),0))+(MAX(D17-F17,0)*(MAX(($G$6-$C$5),0))))*$D$22/1000</f>
        <v>1330</v>
      </c>
      <c r="T17" s="27">
        <f>SUM(P17:S17)</f>
        <v>-28</v>
      </c>
    </row>
    <row r="18" spans="2:20" ht="15.75" thickBot="1">
      <c r="B18" s="21" t="s">
        <v>13</v>
      </c>
      <c r="C18" s="21"/>
      <c r="D18" s="21">
        <f>G18*$D$22</f>
        <v>140</v>
      </c>
      <c r="E18" s="21">
        <v>100</v>
      </c>
      <c r="F18" s="21">
        <v>140</v>
      </c>
      <c r="G18" s="21">
        <v>140</v>
      </c>
      <c r="H18" s="5"/>
      <c r="I18" s="5"/>
      <c r="J18" s="15" t="s">
        <v>13</v>
      </c>
      <c r="K18" s="28">
        <f>-F18*$G$5/1000</f>
        <v>-1400</v>
      </c>
      <c r="L18" s="28">
        <f>-(G18-F18)*$G$6/1000</f>
        <v>0</v>
      </c>
      <c r="M18" s="28">
        <f>E18*($G$5-$C$6)/1000</f>
        <v>992</v>
      </c>
      <c r="N18" s="28">
        <f>SUM(K18:M18)</f>
        <v>-408</v>
      </c>
      <c r="O18" s="26"/>
      <c r="P18" s="29">
        <f>-F18*$G$5/1000</f>
        <v>-1400</v>
      </c>
      <c r="Q18" s="29">
        <f>-(G18-F18)*$G$6/1000</f>
        <v>0</v>
      </c>
      <c r="R18" s="29">
        <f>IF($G$5&gt;$C$6,-E18*($C$6-MIN($G$5,$C$5)),E18*($G$5-$C$6))/1000</f>
        <v>42</v>
      </c>
      <c r="S18" s="29">
        <f>(MIN(D18,F18)*(MAX(($G$5-$C$5),0))+(MAX(D18-F18,0)*(MAX(($G$6-$C$5),0))))*$D$22/1000</f>
        <v>1330</v>
      </c>
      <c r="T18" s="29">
        <f>SUM(P18:S18)</f>
        <v>-28</v>
      </c>
    </row>
    <row r="19" spans="2:20" ht="15.75" thickTop="1">
      <c r="B19" s="10" t="s">
        <v>9</v>
      </c>
      <c r="C19" s="10"/>
      <c r="D19" s="10">
        <f>SUM(D17:D18)</f>
        <v>280</v>
      </c>
      <c r="E19" s="10">
        <f>SUM(E17:E18)</f>
        <v>200</v>
      </c>
      <c r="F19" s="10">
        <f>SUM(F17:F18)</f>
        <v>280</v>
      </c>
      <c r="G19" s="10">
        <f>SUM(G17:G18)</f>
        <v>280</v>
      </c>
      <c r="H19" s="5"/>
      <c r="I19" s="5"/>
      <c r="J19" s="16" t="s">
        <v>9</v>
      </c>
      <c r="K19" s="30">
        <f>SUM(K17:K18)</f>
        <v>-2800</v>
      </c>
      <c r="L19" s="30">
        <f>SUM(L17:L18)</f>
        <v>0</v>
      </c>
      <c r="M19" s="30">
        <f>SUM(M17:M18)</f>
        <v>1984</v>
      </c>
      <c r="N19" s="30">
        <f>SUM(N17:N18)</f>
        <v>-816</v>
      </c>
      <c r="O19" s="31"/>
      <c r="P19" s="32">
        <f>SUM(P17:P18)</f>
        <v>-2800</v>
      </c>
      <c r="Q19" s="32">
        <f>SUM(Q17:Q18)</f>
        <v>0</v>
      </c>
      <c r="R19" s="32">
        <f>SUM(R17:R18)</f>
        <v>84</v>
      </c>
      <c r="S19" s="32">
        <f>SUM(S17:S18)</f>
        <v>2660</v>
      </c>
      <c r="T19" s="32">
        <f>SUM(T17:T18)</f>
        <v>-56</v>
      </c>
    </row>
    <row r="21" spans="2:19" ht="15">
      <c r="B21" s="5" t="s">
        <v>31</v>
      </c>
      <c r="C21" s="5"/>
      <c r="D21" s="5">
        <f>G19/D13</f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ht="15">
      <c r="B22" s="5" t="s">
        <v>32</v>
      </c>
      <c r="C22" s="5"/>
      <c r="D22" s="5">
        <f>MIN(D13/G19,1)</f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</sheetData>
  <sheetProtection/>
  <mergeCells count="6">
    <mergeCell ref="D5:F5"/>
    <mergeCell ref="D6:F6"/>
    <mergeCell ref="K15:N15"/>
    <mergeCell ref="P15:T15"/>
    <mergeCell ref="K7:N7"/>
    <mergeCell ref="P7:T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Maeve Kennedy</cp:lastModifiedBy>
  <dcterms:created xsi:type="dcterms:W3CDTF">2015-09-18T14:05:31Z</dcterms:created>
  <dcterms:modified xsi:type="dcterms:W3CDTF">2015-10-06T10:31:25Z</dcterms:modified>
  <cp:category/>
  <cp:version/>
  <cp:contentType/>
  <cp:contentStatus/>
</cp:coreProperties>
</file>