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960" windowWidth="17040" windowHeight="9540" tabRatio="758" activeTab="2"/>
  </bookViews>
  <sheets>
    <sheet name="2008 Data estimated forecast" sheetId="1" r:id="rId1"/>
    <sheet name="2008 Data perfect forecast" sheetId="2" r:id="rId2"/>
    <sheet name="Trial version" sheetId="3" r:id="rId3"/>
    <sheet name="Notes" sheetId="4" r:id="rId4"/>
  </sheets>
  <definedNames>
    <definedName name="_xlnm.Print_Area" localSheetId="0">'2008 Data estimated forecast'!$A$1:$X$37</definedName>
    <definedName name="_xlnm.Print_Area" localSheetId="1">'2008 Data perfect forecast'!$A$1:$X$37</definedName>
    <definedName name="_xlnm.Print_Area" localSheetId="3">'Notes'!$B$1:$C$31</definedName>
    <definedName name="_xlnm.Print_Area" localSheetId="2">'Trial version'!$A$1:$Y$43</definedName>
  </definedNames>
  <calcPr fullCalcOnLoad="1"/>
</workbook>
</file>

<file path=xl/sharedStrings.xml><?xml version="1.0" encoding="utf-8"?>
<sst xmlns="http://schemas.openxmlformats.org/spreadsheetml/2006/main" count="241" uniqueCount="74">
  <si>
    <t>Jan</t>
  </si>
  <si>
    <t>Feb</t>
  </si>
  <si>
    <t>Mar</t>
  </si>
  <si>
    <t>Apr</t>
  </si>
  <si>
    <t>May</t>
  </si>
  <si>
    <t>Jun</t>
  </si>
  <si>
    <t>Jul</t>
  </si>
  <si>
    <t>Aug</t>
  </si>
  <si>
    <t>Sep</t>
  </si>
  <si>
    <t>Oct</t>
  </si>
  <si>
    <t>Nov</t>
  </si>
  <si>
    <t>Dec</t>
  </si>
  <si>
    <t>EPACPS</t>
  </si>
  <si>
    <t>LOLE</t>
  </si>
  <si>
    <t>Pot Left</t>
  </si>
  <si>
    <t>MPot</t>
  </si>
  <si>
    <t>MTolerance</t>
  </si>
  <si>
    <t>BulkTol</t>
  </si>
  <si>
    <t>Subject to two constraints:</t>
  </si>
  <si>
    <t>Constraint 1) The pot for the month can never breach +/- X% of its original forecast (draft) value, adjusted for any rolling slack in the annual pot</t>
  </si>
  <si>
    <t>Data Inputs</t>
  </si>
  <si>
    <t>Constraint 2 Bulk Lower</t>
  </si>
  <si>
    <t>Constraint 2 Bulk Upper</t>
  </si>
  <si>
    <t>Key:</t>
  </si>
  <si>
    <t>Unconstr MPot</t>
  </si>
  <si>
    <t>Month</t>
  </si>
  <si>
    <t>EX-Post LOLE Model</t>
  </si>
  <si>
    <t>Months of the Year</t>
  </si>
  <si>
    <t xml:space="preserve">Pot left  - MPot </t>
  </si>
  <si>
    <t>The model works by assigning a 'draft' pot to each month at the beginning of the year based on the forecast LOLE. This is used to set constraints on the actual monies that are paid out each month for the EP component.</t>
  </si>
  <si>
    <t>The first constraint ensures that we don't spend all our money on a disastrous January and leave ourselves short for the rest of the year. The constraint tends to 'bite' in the early months (see cells D25, F25 and K25). Early modelling suggests 60% for X gives a good bandwidth</t>
  </si>
  <si>
    <t>Advantages</t>
  </si>
  <si>
    <t>Disadvantages</t>
  </si>
  <si>
    <t>Ensuring we do not 'insist' ahead of time on paying big chunks of EP monies in months that turn out to have high margin</t>
  </si>
  <si>
    <t>Removes the need for a flattening power factor (was put in place because of the above issue which leads to a lottery effect in high margin months)</t>
  </si>
  <si>
    <t xml:space="preserve">Increasing Complexity </t>
  </si>
  <si>
    <t>At start of month the SO's produce a new rolling forecast of LOLE for each month left in the year. They also calculate the actual EP LOLE for the month just passed. This is used to adjust the constraints on the pot for the month just passed.</t>
  </si>
  <si>
    <t>The second constraint ensures that we don't simply save all our money each month (perhaps we have a year like 2009 with lots of margin) and end up with a glut of cash to pay out in December. The constraint tends to 'bite' toward the latter part of the year (see cells D35, I35 and K35). Early modelling suggests 30% for Y gives a good bandwidth.</t>
  </si>
  <si>
    <t>Currently, the size of the EP pot is calculated EA. In this method, the EP pot for each month is calculated EP, but the size of the annual EP Pot (30%) is still calculated year ahead and is fixed.</t>
  </si>
  <si>
    <t>Giving much more autonomy over the EP component of CPM to the SO's who will get to essentially pull levers to send the money where they think they need it. Focus on SO's to forecast the LOLE for the Year.</t>
  </si>
  <si>
    <t xml:space="preserve">This tool presents the Ex-Post LOLE Model. </t>
  </si>
  <si>
    <t>Summary</t>
  </si>
  <si>
    <t>Constraints</t>
  </si>
  <si>
    <t>Advantages / Disadvantages</t>
  </si>
  <si>
    <t>LOLE Forecast - SO makes a forecast calculation on LOLE</t>
  </si>
  <si>
    <t>The December pot is effected by the LOLE of the pervious months and how much money is left.</t>
  </si>
  <si>
    <t>Constraint 2) The sum of monies remaining in the annual pot after you deduct the past month can never breach +/- Y% of the Constraint</t>
  </si>
  <si>
    <t>Main Inputs  - Expost fixed ACPS and Tolerance levels (less than 1)</t>
  </si>
  <si>
    <t>Ex-Post Actual LOLE for each month is in Red</t>
  </si>
  <si>
    <t>SOCAP Model</t>
  </si>
  <si>
    <t>Constraint 1 Lower</t>
  </si>
  <si>
    <t>Constraint 1 Upper</t>
  </si>
  <si>
    <t>GrossMin</t>
  </si>
  <si>
    <t>GrossMax</t>
  </si>
  <si>
    <t>Constraint 1 Bulk Lower</t>
  </si>
  <si>
    <t>Constraint 1 Bulk Upper</t>
  </si>
  <si>
    <t>MAX(Constraint 1 Lower,Constraint 2 Lower)</t>
  </si>
  <si>
    <t>MAX(Constraint 1 Upper,Constraint 2 Upper)</t>
  </si>
  <si>
    <t>Ex-Post Actual LOLE</t>
  </si>
  <si>
    <t>MIN(MAX(Unconstr MPot,GrossMin),GrossMax)</t>
  </si>
  <si>
    <t>2008 Data perfect forecast with the SOCAP Model</t>
  </si>
  <si>
    <t>2008 Data Estimated forecast with the SOCAP Model</t>
  </si>
  <si>
    <t>Actual LOLE of the month * Remaining CPM pot left / (Sum(Actual LOLE &amp; Forecast LOLE for the rest of the year))</t>
  </si>
  <si>
    <t>It then takes into consideration the Constraints and calculates the min between the (MAX(Unconstr MPot,Gross min of the lower constraints)) and the Gross max of the upper constraints</t>
  </si>
  <si>
    <t>ACPS</t>
  </si>
  <si>
    <t>EP%</t>
  </si>
  <si>
    <t>Pot left -SUM(LOLE Forecast for the rest of the year) * Pot left * (1+BulkTol) / SUM(LOLE Forecast for the month and the rest of the year))</t>
  </si>
  <si>
    <t>Pot left -SUM(LOLE Forecast for the rest of the year) * Pot left * (1-BulkTol) / SUM(LOLE Forecast for the month and the rest of the year))</t>
  </si>
  <si>
    <t>Pot left*Forecast Monthly Ex-Post LOLE/SUM(rest of the year forcast LOLE)*(1+MTolerance)</t>
  </si>
  <si>
    <t>Pot left*Forecast Monthly Ex-Post LOLE/SUM(rest of the year forcast LOLE)*(1-MTolerance)</t>
  </si>
  <si>
    <t>The pot for the month just passed is calculated as the  - Actual LOLE of the month * Remaining CPM pot left / (Sum(Forecast LOLE for the rest of the year))</t>
  </si>
  <si>
    <t xml:space="preserve">Jan </t>
  </si>
  <si>
    <t>Mpot (€K)</t>
  </si>
  <si>
    <t>LOLE (hrs)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</si>
</sst>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0"/>
      <color theme="1"/>
      <name val="Arial"/>
      <family val="2"/>
    </font>
    <font>
      <sz val="11"/>
      <color indexed="8"/>
      <name val="Calibri"/>
      <family val="2"/>
    </font>
    <font>
      <sz val="10"/>
      <color indexed="10"/>
      <name val="Arial"/>
      <family val="2"/>
    </font>
    <font>
      <b/>
      <sz val="10"/>
      <color indexed="8"/>
      <name val="Arial"/>
      <family val="2"/>
    </font>
    <font>
      <i/>
      <sz val="10"/>
      <color indexed="8"/>
      <name val="Arial"/>
      <family val="2"/>
    </font>
    <font>
      <sz val="10"/>
      <name val="Arial"/>
      <family val="2"/>
    </font>
    <font>
      <b/>
      <sz val="10"/>
      <name val="Arial"/>
      <family val="2"/>
    </font>
    <font>
      <b/>
      <u val="single"/>
      <sz val="20"/>
      <color indexed="8"/>
      <name val="Arial"/>
      <family val="2"/>
    </font>
    <font>
      <b/>
      <sz val="10"/>
      <color indexed="9"/>
      <name val="Arial"/>
      <family val="2"/>
    </font>
    <font>
      <b/>
      <sz val="22"/>
      <color indexed="9"/>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Arial"/>
      <family val="2"/>
    </font>
    <font>
      <b/>
      <sz val="10"/>
      <color theme="1"/>
      <name val="Arial"/>
      <family val="2"/>
    </font>
    <font>
      <sz val="10"/>
      <color rgb="FFFF0000"/>
      <name val="Arial"/>
      <family val="2"/>
    </font>
    <font>
      <b/>
      <u val="single"/>
      <sz val="20"/>
      <color theme="1"/>
      <name val="Arial"/>
      <family val="2"/>
    </font>
    <font>
      <b/>
      <sz val="22"/>
      <color theme="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style="thin"/>
      <right style="thin"/>
      <top style="thin"/>
      <bottom style="medium"/>
    </border>
    <border>
      <left style="medium"/>
      <right style="thin"/>
      <top style="thin"/>
      <bottom style="thin"/>
    </border>
    <border>
      <left style="medium"/>
      <right/>
      <top style="medium"/>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right style="thin"/>
      <top style="thin"/>
      <bottom style="thin"/>
    </border>
    <border>
      <left style="thin"/>
      <right/>
      <top style="thin"/>
      <bottom style="thin"/>
    </border>
    <border>
      <left/>
      <right style="thin"/>
      <top style="thin"/>
      <bottom/>
    </border>
    <border>
      <left style="thin"/>
      <right/>
      <top style="thin"/>
      <bottom/>
    </border>
    <border>
      <left/>
      <right style="thin"/>
      <top/>
      <bottom style="thin"/>
    </border>
    <border>
      <left style="thin"/>
      <right/>
      <top/>
      <bottom style="thin"/>
    </border>
    <border>
      <left style="medium"/>
      <right/>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Alignment="1">
      <alignment/>
    </xf>
    <xf numFmtId="17" fontId="0" fillId="0" borderId="0" xfId="0" applyNumberFormat="1" applyAlignment="1">
      <alignment/>
    </xf>
    <xf numFmtId="2" fontId="0" fillId="0" borderId="0" xfId="0" applyNumberFormat="1" applyAlignment="1">
      <alignment/>
    </xf>
    <xf numFmtId="17" fontId="47" fillId="0" borderId="0" xfId="0" applyNumberFormat="1" applyFont="1" applyAlignment="1">
      <alignment/>
    </xf>
    <xf numFmtId="0" fontId="47" fillId="0" borderId="0" xfId="0" applyFont="1" applyAlignment="1">
      <alignment/>
    </xf>
    <xf numFmtId="0" fontId="5" fillId="0" borderId="0" xfId="0" applyFont="1" applyAlignment="1">
      <alignment/>
    </xf>
    <xf numFmtId="0" fontId="48" fillId="0" borderId="10" xfId="0" applyFont="1" applyBorder="1" applyAlignment="1">
      <alignment/>
    </xf>
    <xf numFmtId="0" fontId="0" fillId="0" borderId="10" xfId="0" applyBorder="1" applyAlignment="1">
      <alignment/>
    </xf>
    <xf numFmtId="0" fontId="49" fillId="4" borderId="10" xfId="0" applyFont="1" applyFill="1" applyBorder="1" applyAlignment="1">
      <alignment/>
    </xf>
    <xf numFmtId="0" fontId="0" fillId="2" borderId="10" xfId="0" applyFill="1" applyBorder="1" applyAlignment="1">
      <alignment/>
    </xf>
    <xf numFmtId="0" fontId="5" fillId="7" borderId="10" xfId="0" applyFont="1" applyFill="1" applyBorder="1" applyAlignment="1">
      <alignment/>
    </xf>
    <xf numFmtId="0" fontId="0" fillId="7" borderId="10" xfId="0" applyFill="1" applyBorder="1" applyAlignment="1">
      <alignment/>
    </xf>
    <xf numFmtId="0" fontId="0" fillId="0" borderId="0" xfId="0" applyBorder="1" applyAlignment="1">
      <alignment/>
    </xf>
    <xf numFmtId="2" fontId="0" fillId="0" borderId="10" xfId="0" applyNumberFormat="1" applyBorder="1" applyAlignment="1">
      <alignment/>
    </xf>
    <xf numFmtId="0" fontId="0" fillId="0" borderId="0" xfId="0" applyAlignment="1">
      <alignment horizontal="center" wrapText="1"/>
    </xf>
    <xf numFmtId="2" fontId="0" fillId="0" borderId="0" xfId="0" applyNumberFormat="1" applyBorder="1" applyAlignment="1">
      <alignment/>
    </xf>
    <xf numFmtId="0" fontId="0" fillId="4" borderId="10" xfId="0" applyFill="1" applyBorder="1" applyAlignment="1">
      <alignment/>
    </xf>
    <xf numFmtId="1" fontId="0" fillId="0" borderId="11" xfId="0" applyNumberFormat="1" applyBorder="1" applyAlignment="1">
      <alignment/>
    </xf>
    <xf numFmtId="2" fontId="0" fillId="0" borderId="12" xfId="0" applyNumberFormat="1" applyBorder="1" applyAlignment="1">
      <alignment/>
    </xf>
    <xf numFmtId="2" fontId="0" fillId="0" borderId="13" xfId="0" applyNumberFormat="1" applyBorder="1" applyAlignment="1">
      <alignment/>
    </xf>
    <xf numFmtId="0" fontId="0" fillId="0" borderId="14" xfId="0" applyBorder="1" applyAlignment="1">
      <alignment horizontal="left" wrapText="1"/>
    </xf>
    <xf numFmtId="17" fontId="6" fillId="0" borderId="15" xfId="0" applyNumberFormat="1" applyFont="1" applyBorder="1" applyAlignment="1">
      <alignment horizontal="center" wrapText="1"/>
    </xf>
    <xf numFmtId="0" fontId="48" fillId="0" borderId="13" xfId="0" applyFont="1" applyBorder="1" applyAlignment="1">
      <alignment/>
    </xf>
    <xf numFmtId="2" fontId="6" fillId="0" borderId="16" xfId="0" applyNumberFormat="1" applyFont="1" applyBorder="1" applyAlignment="1">
      <alignment/>
    </xf>
    <xf numFmtId="0" fontId="48" fillId="0" borderId="17" xfId="0" applyFont="1" applyBorder="1" applyAlignment="1">
      <alignment/>
    </xf>
    <xf numFmtId="2" fontId="6" fillId="0" borderId="18" xfId="0" applyNumberFormat="1" applyFont="1" applyBorder="1" applyAlignment="1">
      <alignment/>
    </xf>
    <xf numFmtId="2" fontId="49" fillId="4" borderId="10" xfId="0" applyNumberFormat="1" applyFont="1" applyFill="1" applyBorder="1" applyAlignment="1">
      <alignment/>
    </xf>
    <xf numFmtId="0" fontId="48" fillId="0" borderId="19" xfId="0" applyFon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2" fontId="0" fillId="0" borderId="22" xfId="0" applyNumberFormat="1" applyBorder="1" applyAlignment="1">
      <alignment/>
    </xf>
    <xf numFmtId="0" fontId="50" fillId="0" borderId="0" xfId="0" applyFont="1" applyAlignment="1">
      <alignment/>
    </xf>
    <xf numFmtId="2" fontId="0" fillId="2" borderId="10" xfId="0" applyNumberFormat="1" applyFill="1" applyBorder="1" applyAlignment="1">
      <alignment/>
    </xf>
    <xf numFmtId="0" fontId="0" fillId="0" borderId="0" xfId="0" applyAlignment="1">
      <alignment wrapText="1"/>
    </xf>
    <xf numFmtId="17" fontId="6" fillId="0" borderId="21" xfId="0" applyNumberFormat="1" applyFont="1" applyBorder="1" applyAlignment="1">
      <alignment horizontal="center" wrapText="1"/>
    </xf>
    <xf numFmtId="0" fontId="0" fillId="5" borderId="23" xfId="0" applyFill="1" applyBorder="1" applyAlignment="1">
      <alignment wrapText="1"/>
    </xf>
    <xf numFmtId="0" fontId="0" fillId="5" borderId="24" xfId="0" applyFill="1" applyBorder="1" applyAlignment="1">
      <alignment wrapText="1"/>
    </xf>
    <xf numFmtId="0" fontId="0" fillId="5" borderId="25" xfId="0" applyFill="1" applyBorder="1" applyAlignment="1">
      <alignment wrapText="1"/>
    </xf>
    <xf numFmtId="0" fontId="48" fillId="0" borderId="14" xfId="0" applyFont="1" applyBorder="1" applyAlignment="1">
      <alignment wrapText="1"/>
    </xf>
    <xf numFmtId="0" fontId="0" fillId="0" borderId="26" xfId="0" applyBorder="1" applyAlignment="1">
      <alignment/>
    </xf>
    <xf numFmtId="0" fontId="0" fillId="0" borderId="27" xfId="0" applyBorder="1" applyAlignment="1">
      <alignment wrapText="1"/>
    </xf>
    <xf numFmtId="0" fontId="0" fillId="0" borderId="28" xfId="0" applyBorder="1" applyAlignment="1">
      <alignment wrapText="1"/>
    </xf>
    <xf numFmtId="0" fontId="0" fillId="0" borderId="28" xfId="0" applyBorder="1" applyAlignment="1">
      <alignment/>
    </xf>
    <xf numFmtId="0" fontId="0" fillId="0" borderId="29" xfId="0"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1" xfId="0" applyFill="1" applyBorder="1" applyAlignment="1">
      <alignment/>
    </xf>
    <xf numFmtId="0" fontId="0" fillId="33" borderId="32" xfId="0" applyFill="1" applyBorder="1" applyAlignment="1">
      <alignment wrapText="1"/>
    </xf>
    <xf numFmtId="0" fontId="0" fillId="33" borderId="33" xfId="0" applyFill="1" applyBorder="1" applyAlignment="1">
      <alignment/>
    </xf>
    <xf numFmtId="0" fontId="0" fillId="33" borderId="34" xfId="0" applyFill="1" applyBorder="1" applyAlignment="1">
      <alignment wrapText="1"/>
    </xf>
    <xf numFmtId="0" fontId="0" fillId="33" borderId="35" xfId="0" applyFill="1" applyBorder="1" applyAlignment="1">
      <alignment wrapText="1"/>
    </xf>
    <xf numFmtId="0" fontId="0" fillId="0" borderId="27" xfId="0" applyBorder="1" applyAlignment="1">
      <alignment vertical="center" wrapText="1"/>
    </xf>
    <xf numFmtId="0" fontId="0" fillId="0" borderId="36" xfId="0" applyBorder="1" applyAlignment="1">
      <alignment vertical="center" wrapText="1"/>
    </xf>
    <xf numFmtId="0" fontId="48" fillId="20" borderId="23" xfId="0" applyFont="1" applyFill="1" applyBorder="1" applyAlignment="1">
      <alignment wrapText="1"/>
    </xf>
    <xf numFmtId="0" fontId="48" fillId="20" borderId="25" xfId="0" applyFont="1" applyFill="1" applyBorder="1" applyAlignment="1">
      <alignment/>
    </xf>
    <xf numFmtId="0" fontId="51" fillId="20" borderId="0" xfId="0" applyFont="1" applyFill="1" applyAlignment="1">
      <alignment wrapText="1"/>
    </xf>
    <xf numFmtId="0" fontId="0" fillId="0" borderId="14" xfId="0" applyBorder="1" applyAlignment="1">
      <alignment wrapText="1"/>
    </xf>
    <xf numFmtId="0" fontId="52" fillId="20" borderId="0" xfId="0" applyFont="1" applyFill="1" applyAlignment="1">
      <alignment wrapText="1"/>
    </xf>
    <xf numFmtId="0" fontId="0" fillId="20" borderId="0" xfId="0"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0" borderId="0" xfId="0" applyAlignment="1" quotePrefix="1">
      <alignment/>
    </xf>
    <xf numFmtId="2" fontId="0" fillId="0" borderId="10" xfId="0" applyNumberFormat="1" applyBorder="1" applyAlignment="1" quotePrefix="1">
      <alignment/>
    </xf>
    <xf numFmtId="2" fontId="0" fillId="0" borderId="16" xfId="0" applyNumberFormat="1" applyBorder="1" applyAlignment="1">
      <alignment/>
    </xf>
    <xf numFmtId="2" fontId="0" fillId="0" borderId="17" xfId="0" applyNumberFormat="1" applyBorder="1" applyAlignment="1">
      <alignment/>
    </xf>
    <xf numFmtId="2" fontId="0" fillId="0" borderId="12" xfId="0" applyNumberFormat="1" applyBorder="1" applyAlignment="1" quotePrefix="1">
      <alignment/>
    </xf>
    <xf numFmtId="2" fontId="0" fillId="0" borderId="18" xfId="0" applyNumberFormat="1" applyBorder="1" applyAlignment="1">
      <alignment/>
    </xf>
    <xf numFmtId="2" fontId="0" fillId="0" borderId="37" xfId="0" applyNumberFormat="1" applyBorder="1" applyAlignment="1">
      <alignment/>
    </xf>
    <xf numFmtId="2" fontId="0" fillId="0" borderId="38" xfId="0" applyNumberFormat="1" applyBorder="1" applyAlignment="1">
      <alignment/>
    </xf>
    <xf numFmtId="2" fontId="0" fillId="0" borderId="38" xfId="0" applyNumberFormat="1" applyBorder="1" applyAlignment="1" quotePrefix="1">
      <alignment/>
    </xf>
    <xf numFmtId="2" fontId="0" fillId="0" borderId="39" xfId="0" applyNumberFormat="1" applyBorder="1" applyAlignment="1">
      <alignment/>
    </xf>
    <xf numFmtId="17" fontId="0" fillId="0" borderId="23" xfId="0" applyNumberFormat="1" applyBorder="1" applyAlignment="1">
      <alignment horizontal="center" wrapText="1"/>
    </xf>
    <xf numFmtId="17" fontId="0" fillId="0" borderId="24" xfId="0" applyNumberFormat="1" applyBorder="1" applyAlignment="1">
      <alignment horizontal="center" wrapText="1"/>
    </xf>
    <xf numFmtId="2" fontId="0" fillId="34" borderId="24" xfId="0" applyNumberFormat="1" applyFill="1" applyBorder="1" applyAlignment="1">
      <alignment horizontal="center" wrapText="1"/>
    </xf>
    <xf numFmtId="0" fontId="0" fillId="0" borderId="24" xfId="0" applyBorder="1" applyAlignment="1">
      <alignment/>
    </xf>
    <xf numFmtId="2" fontId="0" fillId="0" borderId="40" xfId="0" applyNumberFormat="1" applyBorder="1" applyAlignment="1">
      <alignment/>
    </xf>
    <xf numFmtId="2" fontId="0" fillId="0" borderId="20" xfId="0" applyNumberFormat="1" applyFill="1" applyBorder="1" applyAlignment="1">
      <alignment horizontal="center" wrapText="1"/>
    </xf>
    <xf numFmtId="2" fontId="0" fillId="0" borderId="21" xfId="0" applyNumberFormat="1" applyFill="1" applyBorder="1" applyAlignment="1">
      <alignment horizontal="center" wrapText="1"/>
    </xf>
    <xf numFmtId="2" fontId="0" fillId="0" borderId="25" xfId="0" applyNumberFormat="1" applyFill="1" applyBorder="1" applyAlignment="1">
      <alignment horizontal="center" wrapText="1"/>
    </xf>
    <xf numFmtId="0" fontId="5" fillId="0" borderId="10" xfId="0" applyFont="1" applyFill="1" applyBorder="1" applyAlignment="1">
      <alignment/>
    </xf>
    <xf numFmtId="2" fontId="0" fillId="0" borderId="11" xfId="0" applyNumberFormat="1" applyBorder="1" applyAlignment="1">
      <alignment/>
    </xf>
    <xf numFmtId="0" fontId="0" fillId="0" borderId="27" xfId="0" applyBorder="1" applyAlignment="1">
      <alignment wrapText="1"/>
    </xf>
    <xf numFmtId="0" fontId="0" fillId="0" borderId="28" xfId="0" applyBorder="1" applyAlignment="1">
      <alignment/>
    </xf>
    <xf numFmtId="0" fontId="0" fillId="0" borderId="36" xfId="0" applyBorder="1" applyAlignment="1">
      <alignment wrapText="1"/>
    </xf>
    <xf numFmtId="0" fontId="0" fillId="0" borderId="29"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'2008 Data estimated forecast'!$G$2</c:f>
        </c:strRef>
      </c:tx>
      <c:layout>
        <c:manualLayout>
          <c:xMode val="factor"/>
          <c:yMode val="factor"/>
          <c:x val="-0.0015"/>
          <c:y val="-0.013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215"/>
          <c:y val="0.156"/>
          <c:w val="0.916"/>
          <c:h val="0.8335"/>
        </c:manualLayout>
      </c:layout>
      <c:barChart>
        <c:barDir val="col"/>
        <c:grouping val="clustered"/>
        <c:varyColors val="0"/>
        <c:ser>
          <c:idx val="0"/>
          <c:order val="0"/>
          <c:tx>
            <c:strRef>
              <c:f>'2008 Data estimated forecast'!$K$25</c:f>
              <c:strCache>
                <c:ptCount val="1"/>
                <c:pt idx="0">
                  <c:v>MPot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'2008 Data estimated forecast'!$A$26:$A$37</c:f>
              <c:strCache/>
            </c:strRef>
          </c:cat>
          <c:val>
            <c:numRef>
              <c:f>'2008 Data estimated forecast'!$K$26:$K$37</c:f>
              <c:numCache/>
            </c:numRef>
          </c:val>
        </c:ser>
        <c:axId val="43987798"/>
        <c:axId val="60345863"/>
      </c:barChart>
      <c:lineChart>
        <c:grouping val="standard"/>
        <c:varyColors val="0"/>
        <c:ser>
          <c:idx val="1"/>
          <c:order val="1"/>
          <c:tx>
            <c:strRef>
              <c:f>'2008 Data estimated forecast'!$M$25</c:f>
              <c:strCache>
                <c:ptCount val="1"/>
                <c:pt idx="0">
                  <c:v>LOLE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'2008 Data estimated forecast'!$A$26:$A$37</c:f>
              <c:strCache/>
            </c:strRef>
          </c:cat>
          <c:val>
            <c:numRef>
              <c:f>'2008 Data estimated forecast'!$M$26:$M$37</c:f>
              <c:numCache/>
            </c:numRef>
          </c:val>
          <c:smooth val="0"/>
        </c:ser>
        <c:axId val="6241856"/>
        <c:axId val="56176705"/>
      </c:lineChart>
      <c:catAx>
        <c:axId val="43987798"/>
        <c:scaling>
          <c:orientation val="minMax"/>
        </c:scaling>
        <c:axPos val="b"/>
        <c:delete val="0"/>
        <c:numFmt formatCode="General" sourceLinked="1"/>
        <c:majorTickMark val="out"/>
        <c:minorTickMark val="none"/>
        <c:tickLblPos val="nextTo"/>
        <c:spPr>
          <a:ln w="3175">
            <a:solidFill>
              <a:srgbClr val="808080"/>
            </a:solidFill>
          </a:ln>
        </c:spPr>
        <c:crossAx val="60345863"/>
        <c:crosses val="autoZero"/>
        <c:auto val="1"/>
        <c:lblOffset val="100"/>
        <c:tickLblSkip val="1"/>
        <c:noMultiLvlLbl val="0"/>
      </c:catAx>
      <c:valAx>
        <c:axId val="60345863"/>
        <c:scaling>
          <c:orientation val="minMax"/>
        </c:scaling>
        <c:axPos val="l"/>
        <c:title>
          <c:tx>
            <c:rich>
              <a:bodyPr vert="horz" rot="-5400000" anchor="ctr"/>
              <a:lstStyle/>
              <a:p>
                <a:pPr algn="ctr">
                  <a:defRPr/>
                </a:pPr>
                <a:r>
                  <a:rPr lang="en-US" cap="none" sz="1000" b="1" i="0" u="none" baseline="0">
                    <a:solidFill>
                      <a:srgbClr val="000000"/>
                    </a:solidFill>
                  </a:rPr>
                  <a:t>€m</a:t>
                </a:r>
              </a:p>
            </c:rich>
          </c:tx>
          <c:layout>
            <c:manualLayout>
              <c:xMode val="factor"/>
              <c:yMode val="factor"/>
              <c:x val="-0.0005"/>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87798"/>
        <c:crossesAt val="1"/>
        <c:crossBetween val="between"/>
        <c:dispUnits/>
      </c:valAx>
      <c:catAx>
        <c:axId val="6241856"/>
        <c:scaling>
          <c:orientation val="minMax"/>
        </c:scaling>
        <c:axPos val="b"/>
        <c:delete val="1"/>
        <c:majorTickMark val="out"/>
        <c:minorTickMark val="none"/>
        <c:tickLblPos val="none"/>
        <c:crossAx val="56176705"/>
        <c:crosses val="autoZero"/>
        <c:auto val="1"/>
        <c:lblOffset val="100"/>
        <c:tickLblSkip val="1"/>
        <c:noMultiLvlLbl val="0"/>
      </c:catAx>
      <c:valAx>
        <c:axId val="56176705"/>
        <c:scaling>
          <c:orientation val="minMax"/>
        </c:scaling>
        <c:axPos val="l"/>
        <c:title>
          <c:tx>
            <c:rich>
              <a:bodyPr vert="horz" rot="-5400000" anchor="ctr"/>
              <a:lstStyle/>
              <a:p>
                <a:pPr algn="ctr">
                  <a:defRPr/>
                </a:pPr>
                <a:r>
                  <a:rPr lang="en-US" cap="none" sz="1000" b="1" i="0" u="none" baseline="0">
                    <a:solidFill>
                      <a:srgbClr val="000000"/>
                    </a:solidFill>
                  </a:rPr>
                  <a:t>LOLE</a:t>
                </a:r>
              </a:p>
            </c:rich>
          </c:tx>
          <c:layout>
            <c:manualLayout>
              <c:xMode val="factor"/>
              <c:yMode val="factor"/>
              <c:x val="0"/>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41856"/>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Actual 2008 ExPost</a:t>
            </a:r>
          </a:p>
        </c:rich>
      </c:tx>
      <c:layout>
        <c:manualLayout>
          <c:xMode val="factor"/>
          <c:yMode val="factor"/>
          <c:x val="-0.0015"/>
          <c:y val="-0.01275"/>
        </c:manualLayout>
      </c:layout>
      <c:spPr>
        <a:noFill/>
        <a:ln w="3175">
          <a:noFill/>
        </a:ln>
      </c:spPr>
    </c:title>
    <c:plotArea>
      <c:layout>
        <c:manualLayout>
          <c:xMode val="edge"/>
          <c:yMode val="edge"/>
          <c:x val="0.01975"/>
          <c:y val="0.10225"/>
          <c:w val="0.91775"/>
          <c:h val="0.8875"/>
        </c:manualLayout>
      </c:layout>
      <c:barChart>
        <c:barDir val="col"/>
        <c:grouping val="clustered"/>
        <c:varyColors val="0"/>
        <c:ser>
          <c:idx val="0"/>
          <c:order val="0"/>
          <c:tx>
            <c:strRef>
              <c:f>'2008 Data perfect forecast'!$S$31</c:f>
              <c:strCache>
                <c:ptCount val="1"/>
                <c:pt idx="0">
                  <c:v>Mpot (€K)</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'2008 Data perfect forecast'!$R$32:$R$43</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'2008 Data perfect forecast'!$S$32:$S$43</c:f>
              <c:numCache>
                <c:ptCount val="12"/>
                <c:pt idx="0">
                  <c:v>1680</c:v>
                </c:pt>
                <c:pt idx="1">
                  <c:v>1640</c:v>
                </c:pt>
                <c:pt idx="2">
                  <c:v>1575</c:v>
                </c:pt>
                <c:pt idx="3">
                  <c:v>1222</c:v>
                </c:pt>
                <c:pt idx="4">
                  <c:v>1158</c:v>
                </c:pt>
                <c:pt idx="5">
                  <c:v>1160</c:v>
                </c:pt>
                <c:pt idx="6">
                  <c:v>1137</c:v>
                </c:pt>
                <c:pt idx="7">
                  <c:v>1192</c:v>
                </c:pt>
                <c:pt idx="8">
                  <c:v>1320</c:v>
                </c:pt>
                <c:pt idx="9">
                  <c:v>1578</c:v>
                </c:pt>
                <c:pt idx="10">
                  <c:v>1766</c:v>
                </c:pt>
                <c:pt idx="11">
                  <c:v>1824</c:v>
                </c:pt>
              </c:numCache>
            </c:numRef>
          </c:val>
        </c:ser>
        <c:axId val="35828298"/>
        <c:axId val="54019227"/>
      </c:barChart>
      <c:lineChart>
        <c:grouping val="standard"/>
        <c:varyColors val="0"/>
        <c:ser>
          <c:idx val="1"/>
          <c:order val="1"/>
          <c:tx>
            <c:strRef>
              <c:f>'2008 Data perfect forecast'!$T$31</c:f>
              <c:strCache>
                <c:ptCount val="1"/>
                <c:pt idx="0">
                  <c:v>LOLE (hrs)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'2008 Data perfect forecast'!$R$32:$R$43</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'2008 Data perfect forecast'!$T$32:$T$43</c:f>
              <c:numCache>
                <c:ptCount val="12"/>
                <c:pt idx="0">
                  <c:v>0.24</c:v>
                </c:pt>
                <c:pt idx="1">
                  <c:v>0.33</c:v>
                </c:pt>
                <c:pt idx="2">
                  <c:v>0.1</c:v>
                </c:pt>
                <c:pt idx="3">
                  <c:v>0.14</c:v>
                </c:pt>
                <c:pt idx="4">
                  <c:v>0.004</c:v>
                </c:pt>
                <c:pt idx="5">
                  <c:v>0.72</c:v>
                </c:pt>
                <c:pt idx="6">
                  <c:v>0.05</c:v>
                </c:pt>
                <c:pt idx="7">
                  <c:v>0.03</c:v>
                </c:pt>
                <c:pt idx="8">
                  <c:v>0.19</c:v>
                </c:pt>
                <c:pt idx="9">
                  <c:v>1.33</c:v>
                </c:pt>
                <c:pt idx="10">
                  <c:v>0.46</c:v>
                </c:pt>
                <c:pt idx="11">
                  <c:v>0.58</c:v>
                </c:pt>
              </c:numCache>
            </c:numRef>
          </c:val>
          <c:smooth val="0"/>
        </c:ser>
        <c:axId val="16410996"/>
        <c:axId val="13481237"/>
      </c:lineChart>
      <c:catAx>
        <c:axId val="35828298"/>
        <c:scaling>
          <c:orientation val="minMax"/>
        </c:scaling>
        <c:axPos val="b"/>
        <c:delete val="0"/>
        <c:numFmt formatCode="General" sourceLinked="1"/>
        <c:majorTickMark val="none"/>
        <c:minorTickMark val="none"/>
        <c:tickLblPos val="nextTo"/>
        <c:spPr>
          <a:ln w="3175">
            <a:solidFill>
              <a:srgbClr val="808080"/>
            </a:solidFill>
          </a:ln>
        </c:spPr>
        <c:crossAx val="54019227"/>
        <c:crosses val="autoZero"/>
        <c:auto val="1"/>
        <c:lblOffset val="100"/>
        <c:tickLblSkip val="1"/>
        <c:noMultiLvlLbl val="0"/>
      </c:catAx>
      <c:valAx>
        <c:axId val="54019227"/>
        <c:scaling>
          <c:orientation val="minMax"/>
        </c:scaling>
        <c:axPos val="l"/>
        <c:title>
          <c:tx>
            <c:rich>
              <a:bodyPr vert="horz" rot="-5400000" anchor="ctr"/>
              <a:lstStyle/>
              <a:p>
                <a:pPr algn="ctr">
                  <a:defRPr/>
                </a:pPr>
                <a:r>
                  <a:rPr lang="en-US" cap="none" sz="1000" b="1" i="0" u="none" baseline="0">
                    <a:solidFill>
                      <a:srgbClr val="000000"/>
                    </a:solidFill>
                  </a:rPr>
                  <a:t>MPot (€k)</a:t>
                </a:r>
              </a:p>
            </c:rich>
          </c:tx>
          <c:layout>
            <c:manualLayout>
              <c:xMode val="factor"/>
              <c:yMode val="factor"/>
              <c:x val="-0.0005"/>
              <c:y val="0.002"/>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828298"/>
        <c:crossesAt val="1"/>
        <c:crossBetween val="between"/>
        <c:dispUnits/>
      </c:valAx>
      <c:catAx>
        <c:axId val="16410996"/>
        <c:scaling>
          <c:orientation val="minMax"/>
        </c:scaling>
        <c:axPos val="b"/>
        <c:delete val="1"/>
        <c:majorTickMark val="out"/>
        <c:minorTickMark val="none"/>
        <c:tickLblPos val="none"/>
        <c:crossAx val="13481237"/>
        <c:crosses val="autoZero"/>
        <c:auto val="1"/>
        <c:lblOffset val="100"/>
        <c:tickLblSkip val="1"/>
        <c:noMultiLvlLbl val="0"/>
      </c:catAx>
      <c:valAx>
        <c:axId val="13481237"/>
        <c:scaling>
          <c:orientation val="minMax"/>
        </c:scaling>
        <c:axPos val="l"/>
        <c:title>
          <c:tx>
            <c:rich>
              <a:bodyPr vert="horz" rot="-5400000" anchor="ctr"/>
              <a:lstStyle/>
              <a:p>
                <a:pPr algn="ctr">
                  <a:defRPr/>
                </a:pPr>
                <a:r>
                  <a:rPr lang="en-US" cap="none" sz="1000" b="1" i="0" u="none" baseline="0">
                    <a:solidFill>
                      <a:srgbClr val="000000"/>
                    </a:solidFill>
                  </a:rPr>
                  <a:t>LOLE (hrs)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410996"/>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'2008 Data perfect forecast'!$G$2</c:f>
        </c:strRef>
      </c:tx>
      <c:layout>
        <c:manualLayout>
          <c:xMode val="factor"/>
          <c:yMode val="factor"/>
          <c:x val="-0.0015"/>
          <c:y val="-0.013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215"/>
          <c:y val="0.09"/>
          <c:w val="0.916"/>
          <c:h val="0.9015"/>
        </c:manualLayout>
      </c:layout>
      <c:barChart>
        <c:barDir val="col"/>
        <c:grouping val="clustered"/>
        <c:varyColors val="0"/>
        <c:ser>
          <c:idx val="0"/>
          <c:order val="0"/>
          <c:tx>
            <c:strRef>
              <c:f>'2008 Data perfect forecast'!$K$25</c:f>
              <c:strCache>
                <c:ptCount val="1"/>
                <c:pt idx="0">
                  <c:v>MPot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'2008 Data perfect forecast'!$A$26:$A$37</c:f>
              <c:strCache/>
            </c:strRef>
          </c:cat>
          <c:val>
            <c:numRef>
              <c:f>'2008 Data perfect forecast'!$K$26:$K$37</c:f>
              <c:numCache/>
            </c:numRef>
          </c:val>
        </c:ser>
        <c:axId val="54222270"/>
        <c:axId val="18238383"/>
      </c:barChart>
      <c:lineChart>
        <c:grouping val="standard"/>
        <c:varyColors val="0"/>
        <c:ser>
          <c:idx val="1"/>
          <c:order val="1"/>
          <c:tx>
            <c:strRef>
              <c:f>'2008 Data perfect forecast'!$M$25</c:f>
              <c:strCache>
                <c:ptCount val="1"/>
                <c:pt idx="0">
                  <c:v>LOLE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'2008 Data perfect forecast'!$A$26:$A$37</c:f>
              <c:strCache/>
            </c:strRef>
          </c:cat>
          <c:val>
            <c:numRef>
              <c:f>'2008 Data perfect forecast'!$M$26:$M$37</c:f>
              <c:numCache/>
            </c:numRef>
          </c:val>
          <c:smooth val="0"/>
        </c:ser>
        <c:axId val="29927720"/>
        <c:axId val="914025"/>
      </c:lineChart>
      <c:catAx>
        <c:axId val="54222270"/>
        <c:scaling>
          <c:orientation val="minMax"/>
        </c:scaling>
        <c:axPos val="b"/>
        <c:delete val="0"/>
        <c:numFmt formatCode="General" sourceLinked="1"/>
        <c:majorTickMark val="out"/>
        <c:minorTickMark val="none"/>
        <c:tickLblPos val="nextTo"/>
        <c:spPr>
          <a:ln w="3175">
            <a:solidFill>
              <a:srgbClr val="808080"/>
            </a:solidFill>
          </a:ln>
        </c:spPr>
        <c:crossAx val="18238383"/>
        <c:crosses val="autoZero"/>
        <c:auto val="1"/>
        <c:lblOffset val="100"/>
        <c:tickLblSkip val="1"/>
        <c:noMultiLvlLbl val="0"/>
      </c:catAx>
      <c:valAx>
        <c:axId val="18238383"/>
        <c:scaling>
          <c:orientation val="minMax"/>
        </c:scaling>
        <c:axPos val="l"/>
        <c:title>
          <c:tx>
            <c:rich>
              <a:bodyPr vert="horz" rot="-5400000" anchor="ctr"/>
              <a:lstStyle/>
              <a:p>
                <a:pPr algn="ctr">
                  <a:defRPr/>
                </a:pPr>
                <a:r>
                  <a:rPr lang="en-US" cap="none" sz="1000" b="1" i="0" u="none" baseline="0">
                    <a:solidFill>
                      <a:srgbClr val="000000"/>
                    </a:solidFill>
                  </a:rPr>
                  <a:t>€m</a:t>
                </a:r>
              </a:p>
            </c:rich>
          </c:tx>
          <c:layout>
            <c:manualLayout>
              <c:xMode val="factor"/>
              <c:yMode val="factor"/>
              <c:x val="-0.000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22270"/>
        <c:crossesAt val="1"/>
        <c:crossBetween val="between"/>
        <c:dispUnits/>
      </c:valAx>
      <c:catAx>
        <c:axId val="29927720"/>
        <c:scaling>
          <c:orientation val="minMax"/>
        </c:scaling>
        <c:axPos val="b"/>
        <c:delete val="1"/>
        <c:majorTickMark val="out"/>
        <c:minorTickMark val="none"/>
        <c:tickLblPos val="none"/>
        <c:crossAx val="914025"/>
        <c:crosses val="autoZero"/>
        <c:auto val="1"/>
        <c:lblOffset val="100"/>
        <c:tickLblSkip val="1"/>
        <c:noMultiLvlLbl val="0"/>
      </c:catAx>
      <c:valAx>
        <c:axId val="914025"/>
        <c:scaling>
          <c:orientation val="minMax"/>
        </c:scaling>
        <c:axPos val="l"/>
        <c:title>
          <c:tx>
            <c:rich>
              <a:bodyPr vert="horz" rot="-5400000" anchor="ctr"/>
              <a:lstStyle/>
              <a:p>
                <a:pPr algn="ctr">
                  <a:defRPr/>
                </a:pPr>
                <a:r>
                  <a:rPr lang="en-US" cap="none" sz="1000" b="1" i="0" u="none" baseline="0">
                    <a:solidFill>
                      <a:srgbClr val="000000"/>
                    </a:solidFill>
                  </a:rPr>
                  <a:t>LOLE</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927720"/>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Actual 2008 ExPost</a:t>
            </a:r>
          </a:p>
        </c:rich>
      </c:tx>
      <c:layout>
        <c:manualLayout>
          <c:xMode val="factor"/>
          <c:yMode val="factor"/>
          <c:x val="-0.0015"/>
          <c:y val="-0.01275"/>
        </c:manualLayout>
      </c:layout>
      <c:spPr>
        <a:noFill/>
        <a:ln w="3175">
          <a:noFill/>
        </a:ln>
      </c:spPr>
    </c:title>
    <c:plotArea>
      <c:layout>
        <c:manualLayout>
          <c:xMode val="edge"/>
          <c:yMode val="edge"/>
          <c:x val="0.01975"/>
          <c:y val="0.102"/>
          <c:w val="0.91775"/>
          <c:h val="0.889"/>
        </c:manualLayout>
      </c:layout>
      <c:barChart>
        <c:barDir val="col"/>
        <c:grouping val="clustered"/>
        <c:varyColors val="0"/>
        <c:ser>
          <c:idx val="0"/>
          <c:order val="0"/>
          <c:tx>
            <c:strRef>
              <c:f>'2008 Data perfect forecast'!$S$31</c:f>
              <c:strCache>
                <c:ptCount val="1"/>
                <c:pt idx="0">
                  <c:v>Mpot (€K)</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'2008 Data perfect forecast'!$R$32:$R$43</c:f>
              <c:strCache/>
            </c:strRef>
          </c:cat>
          <c:val>
            <c:numRef>
              <c:f>'2008 Data perfect forecast'!$S$32:$S$43</c:f>
              <c:numCache/>
            </c:numRef>
          </c:val>
        </c:ser>
        <c:axId val="8226226"/>
        <c:axId val="6927171"/>
      </c:barChart>
      <c:lineChart>
        <c:grouping val="standard"/>
        <c:varyColors val="0"/>
        <c:ser>
          <c:idx val="1"/>
          <c:order val="1"/>
          <c:tx>
            <c:strRef>
              <c:f>'2008 Data perfect forecast'!$T$31</c:f>
              <c:strCache>
                <c:ptCount val="1"/>
                <c:pt idx="0">
                  <c:v>LOLE (hrs)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'2008 Data perfect forecast'!$R$32:$R$43</c:f>
              <c:strCache/>
            </c:strRef>
          </c:cat>
          <c:val>
            <c:numRef>
              <c:f>'2008 Data perfect forecast'!$T$32:$T$43</c:f>
              <c:numCache/>
            </c:numRef>
          </c:val>
          <c:smooth val="0"/>
        </c:ser>
        <c:axId val="62344540"/>
        <c:axId val="24229949"/>
      </c:lineChart>
      <c:catAx>
        <c:axId val="8226226"/>
        <c:scaling>
          <c:orientation val="minMax"/>
        </c:scaling>
        <c:axPos val="b"/>
        <c:delete val="0"/>
        <c:numFmt formatCode="General" sourceLinked="1"/>
        <c:majorTickMark val="none"/>
        <c:minorTickMark val="none"/>
        <c:tickLblPos val="nextTo"/>
        <c:spPr>
          <a:ln w="3175">
            <a:solidFill>
              <a:srgbClr val="808080"/>
            </a:solidFill>
          </a:ln>
        </c:spPr>
        <c:crossAx val="6927171"/>
        <c:crosses val="autoZero"/>
        <c:auto val="1"/>
        <c:lblOffset val="100"/>
        <c:tickLblSkip val="1"/>
        <c:noMultiLvlLbl val="0"/>
      </c:catAx>
      <c:valAx>
        <c:axId val="6927171"/>
        <c:scaling>
          <c:orientation val="minMax"/>
        </c:scaling>
        <c:axPos val="l"/>
        <c:title>
          <c:tx>
            <c:rich>
              <a:bodyPr vert="horz" rot="-5400000" anchor="ctr"/>
              <a:lstStyle/>
              <a:p>
                <a:pPr algn="ctr">
                  <a:defRPr/>
                </a:pPr>
                <a:r>
                  <a:rPr lang="en-US" cap="none" sz="1000" b="1" i="0" u="none" baseline="0">
                    <a:solidFill>
                      <a:srgbClr val="000000"/>
                    </a:solidFill>
                  </a:rPr>
                  <a:t>MPot (€k)</a:t>
                </a:r>
              </a:p>
            </c:rich>
          </c:tx>
          <c:layout>
            <c:manualLayout>
              <c:xMode val="factor"/>
              <c:yMode val="factor"/>
              <c:x val="-0.0005"/>
              <c:y val="0.002"/>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226226"/>
        <c:crossesAt val="1"/>
        <c:crossBetween val="between"/>
        <c:dispUnits/>
      </c:valAx>
      <c:catAx>
        <c:axId val="62344540"/>
        <c:scaling>
          <c:orientation val="minMax"/>
        </c:scaling>
        <c:axPos val="b"/>
        <c:delete val="1"/>
        <c:majorTickMark val="out"/>
        <c:minorTickMark val="none"/>
        <c:tickLblPos val="none"/>
        <c:crossAx val="24229949"/>
        <c:crosses val="autoZero"/>
        <c:auto val="1"/>
        <c:lblOffset val="100"/>
        <c:tickLblSkip val="1"/>
        <c:noMultiLvlLbl val="0"/>
      </c:catAx>
      <c:valAx>
        <c:axId val="24229949"/>
        <c:scaling>
          <c:orientation val="minMax"/>
        </c:scaling>
        <c:axPos val="l"/>
        <c:title>
          <c:tx>
            <c:rich>
              <a:bodyPr vert="horz" rot="-5400000" anchor="ctr"/>
              <a:lstStyle/>
              <a:p>
                <a:pPr algn="ctr">
                  <a:defRPr/>
                </a:pPr>
                <a:r>
                  <a:rPr lang="en-US" cap="none" sz="1000" b="1" i="0" u="none" baseline="0">
                    <a:solidFill>
                      <a:srgbClr val="000000"/>
                    </a:solidFill>
                  </a:rPr>
                  <a:t>LOLE (hrs)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344540"/>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'Trial version'!$G$2</c:f>
        </c:strRef>
      </c:tx>
      <c:layout>
        <c:manualLayout>
          <c:xMode val="factor"/>
          <c:yMode val="factor"/>
          <c:x val="-0.0015"/>
          <c:y val="-0.013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215"/>
          <c:y val="0.09"/>
          <c:w val="0.916"/>
          <c:h val="0.9015"/>
        </c:manualLayout>
      </c:layout>
      <c:barChart>
        <c:barDir val="col"/>
        <c:grouping val="clustered"/>
        <c:varyColors val="0"/>
        <c:ser>
          <c:idx val="0"/>
          <c:order val="0"/>
          <c:tx>
            <c:strRef>
              <c:f>'Trial version'!$K$25</c:f>
              <c:strCache>
                <c:ptCount val="1"/>
                <c:pt idx="0">
                  <c:v>MPot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'Trial version'!$A$26:$A$37</c:f>
              <c:strCache/>
            </c:strRef>
          </c:cat>
          <c:val>
            <c:numRef>
              <c:f>'Trial version'!$K$26:$K$37</c:f>
              <c:numCache/>
            </c:numRef>
          </c:val>
        </c:ser>
        <c:axId val="16742950"/>
        <c:axId val="16468823"/>
      </c:barChart>
      <c:lineChart>
        <c:grouping val="standard"/>
        <c:varyColors val="0"/>
        <c:ser>
          <c:idx val="1"/>
          <c:order val="1"/>
          <c:tx>
            <c:strRef>
              <c:f>'Trial version'!$M$25</c:f>
              <c:strCache>
                <c:ptCount val="1"/>
                <c:pt idx="0">
                  <c:v>LOLE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'Trial version'!$A$26:$A$37</c:f>
              <c:strCache/>
            </c:strRef>
          </c:cat>
          <c:val>
            <c:numRef>
              <c:f>'Trial version'!$M$26:$M$37</c:f>
              <c:numCache/>
            </c:numRef>
          </c:val>
          <c:smooth val="0"/>
        </c:ser>
        <c:axId val="14001680"/>
        <c:axId val="58906257"/>
      </c:lineChart>
      <c:catAx>
        <c:axId val="16742950"/>
        <c:scaling>
          <c:orientation val="minMax"/>
        </c:scaling>
        <c:axPos val="b"/>
        <c:delete val="0"/>
        <c:numFmt formatCode="General" sourceLinked="1"/>
        <c:majorTickMark val="out"/>
        <c:minorTickMark val="none"/>
        <c:tickLblPos val="nextTo"/>
        <c:spPr>
          <a:ln w="3175">
            <a:solidFill>
              <a:srgbClr val="808080"/>
            </a:solidFill>
          </a:ln>
        </c:spPr>
        <c:crossAx val="16468823"/>
        <c:crosses val="autoZero"/>
        <c:auto val="1"/>
        <c:lblOffset val="100"/>
        <c:tickLblSkip val="1"/>
        <c:noMultiLvlLbl val="0"/>
      </c:catAx>
      <c:valAx>
        <c:axId val="16468823"/>
        <c:scaling>
          <c:orientation val="minMax"/>
        </c:scaling>
        <c:axPos val="l"/>
        <c:title>
          <c:tx>
            <c:rich>
              <a:bodyPr vert="horz" rot="-5400000" anchor="ctr"/>
              <a:lstStyle/>
              <a:p>
                <a:pPr algn="ctr">
                  <a:defRPr/>
                </a:pPr>
                <a:r>
                  <a:rPr lang="en-US" cap="none" sz="1000" b="1" i="0" u="none" baseline="0">
                    <a:solidFill>
                      <a:srgbClr val="000000"/>
                    </a:solidFill>
                  </a:rPr>
                  <a:t>€m</a:t>
                </a:r>
              </a:p>
            </c:rich>
          </c:tx>
          <c:layout>
            <c:manualLayout>
              <c:xMode val="factor"/>
              <c:yMode val="factor"/>
              <c:x val="-0.000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42950"/>
        <c:crossesAt val="1"/>
        <c:crossBetween val="between"/>
        <c:dispUnits/>
      </c:valAx>
      <c:catAx>
        <c:axId val="14001680"/>
        <c:scaling>
          <c:orientation val="minMax"/>
        </c:scaling>
        <c:axPos val="b"/>
        <c:delete val="1"/>
        <c:majorTickMark val="out"/>
        <c:minorTickMark val="none"/>
        <c:tickLblPos val="none"/>
        <c:crossAx val="58906257"/>
        <c:crosses val="autoZero"/>
        <c:auto val="1"/>
        <c:lblOffset val="100"/>
        <c:tickLblSkip val="1"/>
        <c:noMultiLvlLbl val="0"/>
      </c:catAx>
      <c:valAx>
        <c:axId val="58906257"/>
        <c:scaling>
          <c:orientation val="minMax"/>
        </c:scaling>
        <c:axPos val="l"/>
        <c:title>
          <c:tx>
            <c:rich>
              <a:bodyPr vert="horz" rot="-5400000" anchor="ctr"/>
              <a:lstStyle/>
              <a:p>
                <a:pPr algn="ctr">
                  <a:defRPr/>
                </a:pPr>
                <a:r>
                  <a:rPr lang="en-US" cap="none" sz="1000" b="1" i="0" u="none" baseline="0">
                    <a:solidFill>
                      <a:srgbClr val="000000"/>
                    </a:solidFill>
                  </a:rPr>
                  <a:t>LOLE</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001680"/>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chart" Target="/xl/charts/chart1.xml" /><Relationship Id="rId4"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2</xdr:col>
      <xdr:colOff>76200</xdr:colOff>
      <xdr:row>3</xdr:row>
      <xdr:rowOff>38100</xdr:rowOff>
    </xdr:to>
    <xdr:pic>
      <xdr:nvPicPr>
        <xdr:cNvPr id="1" name="Picture 1"/>
        <xdr:cNvPicPr preferRelativeResize="1">
          <a:picLocks noChangeAspect="1"/>
        </xdr:cNvPicPr>
      </xdr:nvPicPr>
      <xdr:blipFill>
        <a:blip r:embed="rId1"/>
        <a:stretch>
          <a:fillRect/>
        </a:stretch>
      </xdr:blipFill>
      <xdr:spPr>
        <a:xfrm>
          <a:off x="104775" y="38100"/>
          <a:ext cx="1419225" cy="657225"/>
        </a:xfrm>
        <a:prstGeom prst="rect">
          <a:avLst/>
        </a:prstGeom>
        <a:noFill/>
        <a:ln w="9525" cmpd="sng">
          <a:noFill/>
        </a:ln>
      </xdr:spPr>
    </xdr:pic>
    <xdr:clientData/>
  </xdr:twoCellAnchor>
  <xdr:twoCellAnchor>
    <xdr:from>
      <xdr:col>17</xdr:col>
      <xdr:colOff>95250</xdr:colOff>
      <xdr:row>0</xdr:row>
      <xdr:rowOff>9525</xdr:rowOff>
    </xdr:from>
    <xdr:to>
      <xdr:col>20</xdr:col>
      <xdr:colOff>390525</xdr:colOff>
      <xdr:row>3</xdr:row>
      <xdr:rowOff>47625</xdr:rowOff>
    </xdr:to>
    <xdr:pic>
      <xdr:nvPicPr>
        <xdr:cNvPr id="2" name="Picture 2"/>
        <xdr:cNvPicPr preferRelativeResize="1">
          <a:picLocks noChangeAspect="1"/>
        </xdr:cNvPicPr>
      </xdr:nvPicPr>
      <xdr:blipFill>
        <a:blip r:embed="rId2"/>
        <a:stretch>
          <a:fillRect/>
        </a:stretch>
      </xdr:blipFill>
      <xdr:spPr>
        <a:xfrm>
          <a:off x="12296775" y="9525"/>
          <a:ext cx="2124075" cy="695325"/>
        </a:xfrm>
        <a:prstGeom prst="rect">
          <a:avLst/>
        </a:prstGeom>
        <a:noFill/>
        <a:ln w="9525" cmpd="sng">
          <a:noFill/>
        </a:ln>
      </xdr:spPr>
    </xdr:pic>
    <xdr:clientData/>
  </xdr:twoCellAnchor>
  <xdr:twoCellAnchor>
    <xdr:from>
      <xdr:col>14</xdr:col>
      <xdr:colOff>142875</xdr:colOff>
      <xdr:row>8</xdr:row>
      <xdr:rowOff>57150</xdr:rowOff>
    </xdr:from>
    <xdr:to>
      <xdr:col>24</xdr:col>
      <xdr:colOff>266700</xdr:colOff>
      <xdr:row>32</xdr:row>
      <xdr:rowOff>114300</xdr:rowOff>
    </xdr:to>
    <xdr:graphicFrame>
      <xdr:nvGraphicFramePr>
        <xdr:cNvPr id="3" name="Chart 3"/>
        <xdr:cNvGraphicFramePr/>
      </xdr:nvGraphicFramePr>
      <xdr:xfrm>
        <a:off x="10515600" y="1524000"/>
        <a:ext cx="6219825" cy="4314825"/>
      </xdr:xfrm>
      <a:graphic>
        <a:graphicData uri="http://schemas.openxmlformats.org/drawingml/2006/chart">
          <c:chart xmlns:c="http://schemas.openxmlformats.org/drawingml/2006/chart" r:id="rId3"/>
        </a:graphicData>
      </a:graphic>
    </xdr:graphicFrame>
    <xdr:clientData/>
  </xdr:twoCellAnchor>
  <xdr:twoCellAnchor>
    <xdr:from>
      <xdr:col>14</xdr:col>
      <xdr:colOff>171450</xdr:colOff>
      <xdr:row>33</xdr:row>
      <xdr:rowOff>9525</xdr:rowOff>
    </xdr:from>
    <xdr:to>
      <xdr:col>24</xdr:col>
      <xdr:colOff>295275</xdr:colOff>
      <xdr:row>43</xdr:row>
      <xdr:rowOff>38100</xdr:rowOff>
    </xdr:to>
    <xdr:graphicFrame>
      <xdr:nvGraphicFramePr>
        <xdr:cNvPr id="4" name="Chart 5"/>
        <xdr:cNvGraphicFramePr/>
      </xdr:nvGraphicFramePr>
      <xdr:xfrm>
        <a:off x="10544175" y="5895975"/>
        <a:ext cx="6219825" cy="38100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2</xdr:col>
      <xdr:colOff>76200</xdr:colOff>
      <xdr:row>3</xdr:row>
      <xdr:rowOff>38100</xdr:rowOff>
    </xdr:to>
    <xdr:pic>
      <xdr:nvPicPr>
        <xdr:cNvPr id="1" name="Picture 1"/>
        <xdr:cNvPicPr preferRelativeResize="1">
          <a:picLocks noChangeAspect="1"/>
        </xdr:cNvPicPr>
      </xdr:nvPicPr>
      <xdr:blipFill>
        <a:blip r:embed="rId1"/>
        <a:stretch>
          <a:fillRect/>
        </a:stretch>
      </xdr:blipFill>
      <xdr:spPr>
        <a:xfrm>
          <a:off x="104775" y="38100"/>
          <a:ext cx="1419225" cy="657225"/>
        </a:xfrm>
        <a:prstGeom prst="rect">
          <a:avLst/>
        </a:prstGeom>
        <a:noFill/>
        <a:ln w="9525" cmpd="sng">
          <a:noFill/>
        </a:ln>
      </xdr:spPr>
    </xdr:pic>
    <xdr:clientData/>
  </xdr:twoCellAnchor>
  <xdr:twoCellAnchor>
    <xdr:from>
      <xdr:col>17</xdr:col>
      <xdr:colOff>95250</xdr:colOff>
      <xdr:row>0</xdr:row>
      <xdr:rowOff>9525</xdr:rowOff>
    </xdr:from>
    <xdr:to>
      <xdr:col>20</xdr:col>
      <xdr:colOff>390525</xdr:colOff>
      <xdr:row>3</xdr:row>
      <xdr:rowOff>47625</xdr:rowOff>
    </xdr:to>
    <xdr:pic>
      <xdr:nvPicPr>
        <xdr:cNvPr id="2" name="Picture 2"/>
        <xdr:cNvPicPr preferRelativeResize="1">
          <a:picLocks noChangeAspect="1"/>
        </xdr:cNvPicPr>
      </xdr:nvPicPr>
      <xdr:blipFill>
        <a:blip r:embed="rId2"/>
        <a:stretch>
          <a:fillRect/>
        </a:stretch>
      </xdr:blipFill>
      <xdr:spPr>
        <a:xfrm>
          <a:off x="12296775" y="9525"/>
          <a:ext cx="2124075" cy="695325"/>
        </a:xfrm>
        <a:prstGeom prst="rect">
          <a:avLst/>
        </a:prstGeom>
        <a:noFill/>
        <a:ln w="9525" cmpd="sng">
          <a:noFill/>
        </a:ln>
      </xdr:spPr>
    </xdr:pic>
    <xdr:clientData/>
  </xdr:twoCellAnchor>
  <xdr:twoCellAnchor>
    <xdr:from>
      <xdr:col>14</xdr:col>
      <xdr:colOff>142875</xdr:colOff>
      <xdr:row>8</xdr:row>
      <xdr:rowOff>57150</xdr:rowOff>
    </xdr:from>
    <xdr:to>
      <xdr:col>24</xdr:col>
      <xdr:colOff>266700</xdr:colOff>
      <xdr:row>32</xdr:row>
      <xdr:rowOff>114300</xdr:rowOff>
    </xdr:to>
    <xdr:graphicFrame>
      <xdr:nvGraphicFramePr>
        <xdr:cNvPr id="3" name="Chart 3"/>
        <xdr:cNvGraphicFramePr/>
      </xdr:nvGraphicFramePr>
      <xdr:xfrm>
        <a:off x="10515600" y="1524000"/>
        <a:ext cx="6219825" cy="4314825"/>
      </xdr:xfrm>
      <a:graphic>
        <a:graphicData uri="http://schemas.openxmlformats.org/drawingml/2006/chart">
          <c:chart xmlns:c="http://schemas.openxmlformats.org/drawingml/2006/chart" r:id="rId3"/>
        </a:graphicData>
      </a:graphic>
    </xdr:graphicFrame>
    <xdr:clientData/>
  </xdr:twoCellAnchor>
  <xdr:twoCellAnchor>
    <xdr:from>
      <xdr:col>14</xdr:col>
      <xdr:colOff>123825</xdr:colOff>
      <xdr:row>32</xdr:row>
      <xdr:rowOff>123825</xdr:rowOff>
    </xdr:from>
    <xdr:to>
      <xdr:col>24</xdr:col>
      <xdr:colOff>247650</xdr:colOff>
      <xdr:row>42</xdr:row>
      <xdr:rowOff>2105025</xdr:rowOff>
    </xdr:to>
    <xdr:graphicFrame>
      <xdr:nvGraphicFramePr>
        <xdr:cNvPr id="4" name="Chart 5"/>
        <xdr:cNvGraphicFramePr/>
      </xdr:nvGraphicFramePr>
      <xdr:xfrm>
        <a:off x="10496550" y="5848350"/>
        <a:ext cx="6219825" cy="38100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2</xdr:col>
      <xdr:colOff>76200</xdr:colOff>
      <xdr:row>3</xdr:row>
      <xdr:rowOff>38100</xdr:rowOff>
    </xdr:to>
    <xdr:pic>
      <xdr:nvPicPr>
        <xdr:cNvPr id="1" name="Picture 1"/>
        <xdr:cNvPicPr preferRelativeResize="1">
          <a:picLocks noChangeAspect="1"/>
        </xdr:cNvPicPr>
      </xdr:nvPicPr>
      <xdr:blipFill>
        <a:blip r:embed="rId1"/>
        <a:stretch>
          <a:fillRect/>
        </a:stretch>
      </xdr:blipFill>
      <xdr:spPr>
        <a:xfrm>
          <a:off x="104775" y="38100"/>
          <a:ext cx="1743075" cy="657225"/>
        </a:xfrm>
        <a:prstGeom prst="rect">
          <a:avLst/>
        </a:prstGeom>
        <a:noFill/>
        <a:ln w="9525" cmpd="sng">
          <a:noFill/>
        </a:ln>
      </xdr:spPr>
    </xdr:pic>
    <xdr:clientData/>
  </xdr:twoCellAnchor>
  <xdr:twoCellAnchor>
    <xdr:from>
      <xdr:col>12</xdr:col>
      <xdr:colOff>9525</xdr:colOff>
      <xdr:row>0</xdr:row>
      <xdr:rowOff>38100</xdr:rowOff>
    </xdr:from>
    <xdr:to>
      <xdr:col>15</xdr:col>
      <xdr:colOff>152400</xdr:colOff>
      <xdr:row>3</xdr:row>
      <xdr:rowOff>66675</xdr:rowOff>
    </xdr:to>
    <xdr:pic>
      <xdr:nvPicPr>
        <xdr:cNvPr id="2" name="Picture 2"/>
        <xdr:cNvPicPr preferRelativeResize="1">
          <a:picLocks noChangeAspect="1"/>
        </xdr:cNvPicPr>
      </xdr:nvPicPr>
      <xdr:blipFill>
        <a:blip r:embed="rId2"/>
        <a:stretch>
          <a:fillRect/>
        </a:stretch>
      </xdr:blipFill>
      <xdr:spPr>
        <a:xfrm>
          <a:off x="10039350" y="38100"/>
          <a:ext cx="2114550" cy="685800"/>
        </a:xfrm>
        <a:prstGeom prst="rect">
          <a:avLst/>
        </a:prstGeom>
        <a:noFill/>
        <a:ln w="9525" cmpd="sng">
          <a:noFill/>
        </a:ln>
      </xdr:spPr>
    </xdr:pic>
    <xdr:clientData/>
  </xdr:twoCellAnchor>
  <xdr:twoCellAnchor>
    <xdr:from>
      <xdr:col>14</xdr:col>
      <xdr:colOff>257175</xdr:colOff>
      <xdr:row>8</xdr:row>
      <xdr:rowOff>19050</xdr:rowOff>
    </xdr:from>
    <xdr:to>
      <xdr:col>24</xdr:col>
      <xdr:colOff>381000</xdr:colOff>
      <xdr:row>32</xdr:row>
      <xdr:rowOff>76200</xdr:rowOff>
    </xdr:to>
    <xdr:graphicFrame>
      <xdr:nvGraphicFramePr>
        <xdr:cNvPr id="3" name="Chart 4"/>
        <xdr:cNvGraphicFramePr/>
      </xdr:nvGraphicFramePr>
      <xdr:xfrm>
        <a:off x="11649075" y="1485900"/>
        <a:ext cx="6219825" cy="4314825"/>
      </xdr:xfrm>
      <a:graphic>
        <a:graphicData uri="http://schemas.openxmlformats.org/drawingml/2006/chart">
          <c:chart xmlns:c="http://schemas.openxmlformats.org/drawingml/2006/chart" r:id="rId3"/>
        </a:graphicData>
      </a:graphic>
    </xdr:graphicFrame>
    <xdr:clientData/>
  </xdr:twoCellAnchor>
</xdr:wsDr>
</file>

<file path=xl/tables/table1.xml><?xml version="1.0" encoding="utf-8"?>
<table xmlns="http://schemas.openxmlformats.org/spreadsheetml/2006/main" id="1" name="Table1" displayName="Table1" ref="B26:C31" totalsRowShown="0">
  <autoFilter ref="B26:C31"/>
  <tableColumns count="2">
    <tableColumn id="1" name="Advantages"/>
    <tableColumn id="2" name="Disadvantag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N43"/>
  <sheetViews>
    <sheetView showGridLines="0" zoomScale="85" zoomScaleNormal="85" zoomScalePageLayoutView="0" workbookViewId="0" topLeftCell="A1">
      <pane ySplit="8" topLeftCell="A9" activePane="bottomLeft" state="frozen"/>
      <selection pane="topLeft" activeCell="A1" sqref="A1"/>
      <selection pane="bottomLeft" activeCell="Z41" sqref="Z41"/>
    </sheetView>
  </sheetViews>
  <sheetFormatPr defaultColWidth="9.140625" defaultRowHeight="12.75"/>
  <cols>
    <col min="1" max="1" width="11.57421875" style="0" customWidth="1"/>
    <col min="2" max="2" width="10.140625" style="0" customWidth="1"/>
    <col min="3" max="5" width="11.28125" style="0" customWidth="1"/>
    <col min="6" max="6" width="11.8515625" style="0" customWidth="1"/>
    <col min="7" max="13" width="11.28125" style="0" customWidth="1"/>
  </cols>
  <sheetData>
    <row r="2" spans="4:7" ht="26.25">
      <c r="D2" s="4"/>
      <c r="G2" s="31" t="s">
        <v>61</v>
      </c>
    </row>
    <row r="5" spans="1:12" ht="12.75">
      <c r="A5" t="s">
        <v>20</v>
      </c>
      <c r="B5" s="7" t="s">
        <v>12</v>
      </c>
      <c r="C5" s="80">
        <f>C6*C7</f>
        <v>172.5</v>
      </c>
      <c r="E5" s="7" t="s">
        <v>16</v>
      </c>
      <c r="F5" s="11">
        <v>0.6</v>
      </c>
      <c r="H5" s="7" t="s">
        <v>17</v>
      </c>
      <c r="I5" s="11">
        <v>0.3</v>
      </c>
      <c r="L5" t="s">
        <v>23</v>
      </c>
    </row>
    <row r="6" spans="2:13" ht="12.75">
      <c r="B6" s="7" t="s">
        <v>64</v>
      </c>
      <c r="C6" s="10">
        <v>575</v>
      </c>
      <c r="L6" s="11"/>
      <c r="M6" t="s">
        <v>47</v>
      </c>
    </row>
    <row r="7" spans="2:13" ht="12.75">
      <c r="B7" s="7" t="s">
        <v>65</v>
      </c>
      <c r="C7" s="10">
        <v>0.3</v>
      </c>
      <c r="L7" s="16"/>
      <c r="M7" t="s">
        <v>48</v>
      </c>
    </row>
    <row r="8" spans="3:13" ht="12.75">
      <c r="C8" s="3"/>
      <c r="D8" s="3"/>
      <c r="E8" s="3"/>
      <c r="F8" s="3"/>
      <c r="G8" s="3"/>
      <c r="H8" s="3"/>
      <c r="I8" s="3"/>
      <c r="J8" s="3"/>
      <c r="K8" s="3"/>
      <c r="L8" s="9"/>
      <c r="M8" t="s">
        <v>44</v>
      </c>
    </row>
    <row r="9" spans="1:14" ht="12.75">
      <c r="A9" s="6" t="s">
        <v>0</v>
      </c>
      <c r="B9" s="9">
        <v>0.5</v>
      </c>
      <c r="C9" s="26">
        <v>0.242760123027937</v>
      </c>
      <c r="D9" s="12"/>
      <c r="E9" s="12"/>
      <c r="F9" s="12"/>
      <c r="G9" s="12"/>
      <c r="H9" s="12"/>
      <c r="I9" s="12"/>
      <c r="J9" s="12"/>
      <c r="K9" s="12"/>
      <c r="L9" s="12"/>
      <c r="M9" s="12"/>
      <c r="N9" s="12"/>
    </row>
    <row r="10" spans="1:14" ht="12.75">
      <c r="A10" s="6" t="s">
        <v>1</v>
      </c>
      <c r="B10" s="9">
        <v>0.5</v>
      </c>
      <c r="C10" s="9">
        <v>1</v>
      </c>
      <c r="D10" s="26">
        <v>0.3389320688483717</v>
      </c>
      <c r="E10" s="12"/>
      <c r="F10" s="12"/>
      <c r="G10" s="12"/>
      <c r="H10" s="12"/>
      <c r="I10" s="12"/>
      <c r="J10" s="12"/>
      <c r="K10" s="12"/>
      <c r="L10" s="12"/>
      <c r="M10" s="12"/>
      <c r="N10" s="12"/>
    </row>
    <row r="11" spans="1:14" ht="12.75">
      <c r="A11" s="6" t="s">
        <v>2</v>
      </c>
      <c r="B11" s="9">
        <v>0.5</v>
      </c>
      <c r="C11" s="9">
        <v>1</v>
      </c>
      <c r="D11" s="9">
        <v>1</v>
      </c>
      <c r="E11" s="26">
        <v>0.10197562354457665</v>
      </c>
      <c r="F11" s="12"/>
      <c r="G11" s="12"/>
      <c r="H11" s="12"/>
      <c r="I11" s="12"/>
      <c r="J11" s="12"/>
      <c r="K11" s="12"/>
      <c r="L11" s="12"/>
      <c r="M11" s="12"/>
      <c r="N11" s="12"/>
    </row>
    <row r="12" spans="1:14" ht="12.75">
      <c r="A12" s="6" t="s">
        <v>3</v>
      </c>
      <c r="B12" s="9">
        <v>0.5</v>
      </c>
      <c r="C12" s="9">
        <v>1</v>
      </c>
      <c r="D12" s="9">
        <v>1</v>
      </c>
      <c r="E12" s="9">
        <v>1</v>
      </c>
      <c r="F12" s="26">
        <v>0.14279620111295407</v>
      </c>
      <c r="G12" s="12"/>
      <c r="H12" s="12"/>
      <c r="I12" s="12"/>
      <c r="J12" s="12"/>
      <c r="K12" s="12"/>
      <c r="L12" s="12"/>
      <c r="M12" s="12"/>
      <c r="N12" s="12"/>
    </row>
    <row r="13" spans="1:14" ht="12.75">
      <c r="A13" s="6" t="s">
        <v>4</v>
      </c>
      <c r="B13" s="9">
        <v>0.5</v>
      </c>
      <c r="C13" s="9">
        <v>0.5</v>
      </c>
      <c r="D13" s="9">
        <v>1</v>
      </c>
      <c r="E13" s="9">
        <v>2</v>
      </c>
      <c r="F13" s="9">
        <v>2</v>
      </c>
      <c r="G13" s="26">
        <v>0.042477873995556505</v>
      </c>
      <c r="H13" s="12"/>
      <c r="I13" s="12"/>
      <c r="J13" s="12"/>
      <c r="K13" s="12"/>
      <c r="L13" s="12"/>
      <c r="M13" s="12"/>
      <c r="N13" s="12"/>
    </row>
    <row r="14" spans="1:14" ht="12.75">
      <c r="A14" s="6" t="s">
        <v>5</v>
      </c>
      <c r="B14" s="9">
        <v>0.5</v>
      </c>
      <c r="C14" s="9">
        <v>0.5</v>
      </c>
      <c r="D14" s="9">
        <v>2</v>
      </c>
      <c r="E14" s="9">
        <v>2</v>
      </c>
      <c r="F14" s="9">
        <v>2</v>
      </c>
      <c r="G14" s="9">
        <v>2</v>
      </c>
      <c r="H14" s="26">
        <v>0.7205210413530346</v>
      </c>
      <c r="I14" s="12"/>
      <c r="J14" s="12"/>
      <c r="K14" s="12"/>
      <c r="L14" s="12"/>
      <c r="M14" s="12"/>
      <c r="N14" s="12"/>
    </row>
    <row r="15" spans="1:14" ht="12.75">
      <c r="A15" s="6" t="s">
        <v>6</v>
      </c>
      <c r="B15" s="9">
        <v>0.5</v>
      </c>
      <c r="C15" s="9">
        <v>0.5</v>
      </c>
      <c r="D15" s="9">
        <v>2</v>
      </c>
      <c r="E15" s="9">
        <v>2</v>
      </c>
      <c r="F15" s="9">
        <v>0.5</v>
      </c>
      <c r="G15" s="9">
        <v>0.5</v>
      </c>
      <c r="H15" s="9">
        <v>0.5</v>
      </c>
      <c r="I15" s="26">
        <v>0.0510497240708702</v>
      </c>
      <c r="J15" s="12"/>
      <c r="K15" s="12"/>
      <c r="L15" s="12"/>
      <c r="M15" s="12"/>
      <c r="N15" s="12"/>
    </row>
    <row r="16" spans="1:14" ht="12.75">
      <c r="A16" s="6" t="s">
        <v>7</v>
      </c>
      <c r="B16" s="9">
        <v>0.5</v>
      </c>
      <c r="C16" s="9">
        <v>0.5</v>
      </c>
      <c r="D16" s="9">
        <v>2</v>
      </c>
      <c r="E16" s="9">
        <v>2</v>
      </c>
      <c r="F16" s="9">
        <v>0.5</v>
      </c>
      <c r="G16" s="9">
        <v>0.5</v>
      </c>
      <c r="H16" s="9">
        <v>0.5</v>
      </c>
      <c r="I16" s="9">
        <v>0.5</v>
      </c>
      <c r="J16" s="26">
        <v>0.030927124113578026</v>
      </c>
      <c r="K16" s="12"/>
      <c r="L16" s="12"/>
      <c r="M16" s="12"/>
      <c r="N16" s="12"/>
    </row>
    <row r="17" spans="1:14" ht="12.75">
      <c r="A17" s="6" t="s">
        <v>8</v>
      </c>
      <c r="B17" s="9">
        <v>0.5</v>
      </c>
      <c r="C17" s="9">
        <v>0.3</v>
      </c>
      <c r="D17" s="9">
        <v>1</v>
      </c>
      <c r="E17" s="9">
        <v>1</v>
      </c>
      <c r="F17" s="9">
        <v>0.3</v>
      </c>
      <c r="G17" s="9">
        <v>0.3</v>
      </c>
      <c r="H17" s="9">
        <v>0.3</v>
      </c>
      <c r="I17" s="9">
        <v>0.3</v>
      </c>
      <c r="J17" s="9">
        <v>0.3</v>
      </c>
      <c r="K17" s="26">
        <v>0.19443404411754137</v>
      </c>
      <c r="L17" s="12"/>
      <c r="M17" s="12"/>
      <c r="N17" s="12"/>
    </row>
    <row r="18" spans="1:14" ht="12.75">
      <c r="A18" s="6" t="s">
        <v>9</v>
      </c>
      <c r="B18" s="9">
        <v>0.5</v>
      </c>
      <c r="C18" s="9">
        <v>0.3</v>
      </c>
      <c r="D18" s="9">
        <v>1</v>
      </c>
      <c r="E18" s="9">
        <v>5</v>
      </c>
      <c r="F18" s="9">
        <v>5</v>
      </c>
      <c r="G18" s="9">
        <v>5</v>
      </c>
      <c r="H18" s="9">
        <v>5</v>
      </c>
      <c r="I18" s="9">
        <v>5</v>
      </c>
      <c r="J18" s="9">
        <v>5</v>
      </c>
      <c r="K18" s="9">
        <v>5</v>
      </c>
      <c r="L18" s="26">
        <v>1.3388485239164003</v>
      </c>
      <c r="M18" s="12"/>
      <c r="N18" s="12"/>
    </row>
    <row r="19" spans="1:14" ht="12.75">
      <c r="A19" s="6" t="s">
        <v>10</v>
      </c>
      <c r="B19" s="9">
        <v>0.5</v>
      </c>
      <c r="C19" s="9">
        <v>0.5</v>
      </c>
      <c r="D19" s="9">
        <v>0.5</v>
      </c>
      <c r="E19" s="9">
        <v>0.5</v>
      </c>
      <c r="F19" s="9">
        <v>0.5</v>
      </c>
      <c r="G19" s="9">
        <v>0.5</v>
      </c>
      <c r="H19" s="9">
        <v>0.5</v>
      </c>
      <c r="I19" s="9">
        <v>0.5</v>
      </c>
      <c r="J19" s="9">
        <v>0.5</v>
      </c>
      <c r="K19" s="9">
        <v>0.5</v>
      </c>
      <c r="L19" s="9">
        <v>0.5</v>
      </c>
      <c r="M19" s="26">
        <v>0.46867656131749513</v>
      </c>
      <c r="N19" s="12"/>
    </row>
    <row r="20" spans="1:14" ht="12.75">
      <c r="A20" s="6" t="s">
        <v>11</v>
      </c>
      <c r="B20" s="9">
        <v>0.5</v>
      </c>
      <c r="C20" s="9">
        <v>0.5</v>
      </c>
      <c r="D20" s="9">
        <v>0.5</v>
      </c>
      <c r="E20" s="9">
        <v>1</v>
      </c>
      <c r="F20" s="9">
        <v>1</v>
      </c>
      <c r="G20" s="9">
        <v>1</v>
      </c>
      <c r="H20" s="9">
        <v>1</v>
      </c>
      <c r="I20" s="9">
        <v>1</v>
      </c>
      <c r="J20" s="9">
        <v>1</v>
      </c>
      <c r="K20" s="9">
        <v>1</v>
      </c>
      <c r="L20" s="9">
        <v>1</v>
      </c>
      <c r="M20" s="9">
        <v>1</v>
      </c>
      <c r="N20" s="26">
        <v>0.5813763622547145</v>
      </c>
    </row>
    <row r="22" spans="8:10" ht="12.75">
      <c r="H22" s="2"/>
      <c r="I22" s="2"/>
      <c r="J22" s="2"/>
    </row>
    <row r="23" spans="4:13" ht="12.75">
      <c r="D23" s="5"/>
      <c r="E23" s="1"/>
      <c r="F23" s="1"/>
      <c r="G23" s="1"/>
      <c r="H23" s="2"/>
      <c r="I23" s="2"/>
      <c r="J23" s="2"/>
      <c r="K23" s="1"/>
      <c r="L23" s="1"/>
      <c r="M23" s="1"/>
    </row>
    <row r="24" s="14" customFormat="1" ht="28.5" customHeight="1" thickBot="1"/>
    <row r="25" spans="1:13" ht="26.25" thickBot="1">
      <c r="A25" s="20" t="s">
        <v>25</v>
      </c>
      <c r="B25" s="21" t="s">
        <v>24</v>
      </c>
      <c r="D25" s="72" t="s">
        <v>50</v>
      </c>
      <c r="E25" s="73" t="s">
        <v>51</v>
      </c>
      <c r="F25" s="74" t="s">
        <v>21</v>
      </c>
      <c r="G25" s="74" t="s">
        <v>22</v>
      </c>
      <c r="H25" s="75" t="s">
        <v>52</v>
      </c>
      <c r="I25" s="79" t="s">
        <v>53</v>
      </c>
      <c r="J25" s="14"/>
      <c r="K25" s="27" t="s">
        <v>15</v>
      </c>
      <c r="L25" s="28" t="s">
        <v>14</v>
      </c>
      <c r="M25" s="29" t="s">
        <v>13</v>
      </c>
    </row>
    <row r="26" spans="1:13" ht="12.75">
      <c r="A26" s="22" t="s">
        <v>0</v>
      </c>
      <c r="B26" s="23">
        <f>C9*$C$5/(SUM($C$9:$C$20))</f>
        <v>6.119770453649756</v>
      </c>
      <c r="D26" s="68">
        <f>$C$5*B9/SUM(B9:$B$20)*(1-$F$5)</f>
        <v>5.75</v>
      </c>
      <c r="E26" s="69">
        <f>$C$5*B9/SUM(B9:$B$20)*(1+$F$5)</f>
        <v>23</v>
      </c>
      <c r="F26" s="70">
        <f>$C$5-SUM(B10:$B$20)*$C$5*(1+$I$5)/SUM(B9:$B$20)</f>
        <v>-33.0625</v>
      </c>
      <c r="G26" s="69">
        <f>$C$5-SUM(B10:$B$20)*$C$5*(1-$I$5)/SUM(B9:$B$20)</f>
        <v>61.8125</v>
      </c>
      <c r="H26" s="69">
        <f>MAX(D26,F26)</f>
        <v>5.75</v>
      </c>
      <c r="I26" s="71">
        <f>MIN(E26,G26)</f>
        <v>23</v>
      </c>
      <c r="K26" s="76">
        <f>MIN(MAX(B26,H26),I26)</f>
        <v>6.119770453649756</v>
      </c>
      <c r="L26" s="30">
        <f>C5-K26</f>
        <v>166.38022954635025</v>
      </c>
      <c r="M26" s="59">
        <f>C9</f>
        <v>0.242760123027937</v>
      </c>
    </row>
    <row r="27" spans="1:13" ht="12.75">
      <c r="A27" s="22" t="s">
        <v>1</v>
      </c>
      <c r="B27" s="23">
        <f>D10*L26/(SUM($D$10:$D$20))</f>
        <v>4.570216863255221</v>
      </c>
      <c r="D27" s="19">
        <f>L26*C10/SUM(C10:$C$20)*(1-$F$5)</f>
        <v>10.08365027553638</v>
      </c>
      <c r="E27" s="13">
        <f>L26*C10/SUM(C10:$C$20)*(1+$F$5)</f>
        <v>40.33460110214552</v>
      </c>
      <c r="F27" s="63">
        <f>L26-SUM(C11:$C$20)*L26*(1+$I$5)/SUM(C10:$C$20)</f>
        <v>-17.142205468411845</v>
      </c>
      <c r="G27" s="13">
        <f>L26-SUM(C11:$C$20)*L26*(1-$I$5)/SUM(C10:$C$20)</f>
        <v>67.56045684609374</v>
      </c>
      <c r="H27" s="13">
        <f>MAX(D27,F27)</f>
        <v>10.08365027553638</v>
      </c>
      <c r="I27" s="64">
        <f>MIN(E27,G27)</f>
        <v>40.33460110214552</v>
      </c>
      <c r="K27" s="19">
        <f>MIN(MAX(B27,H27),I27)</f>
        <v>10.08365027553638</v>
      </c>
      <c r="L27" s="13">
        <f>L26-K27</f>
        <v>156.29657927081388</v>
      </c>
      <c r="M27" s="60">
        <f>D10</f>
        <v>0.3389320688483717</v>
      </c>
    </row>
    <row r="28" spans="1:13" ht="12.75">
      <c r="A28" s="22" t="s">
        <v>2</v>
      </c>
      <c r="B28" s="23">
        <f>E11*(L27)/(SUM($E$11:$E$20))</f>
        <v>0.9600327991339798</v>
      </c>
      <c r="D28" s="19">
        <f>L27*D11/SUM(D11:$D$20)*(1-$F$5)</f>
        <v>5.209885975693797</v>
      </c>
      <c r="E28" s="13">
        <f>L27*D11/SUM(D11:$D$20)*(1+$F$5)</f>
        <v>20.839543902775187</v>
      </c>
      <c r="F28" s="63">
        <f>L27-SUM(D12:$D$20)*L27*(1+$I$5)/SUM(D11:$D$20)</f>
        <v>-29.95684436023933</v>
      </c>
      <c r="G28" s="13">
        <f>L27-SUM(D12:$D$20)*L27*(1-$I$5)/SUM(D11:$D$20)</f>
        <v>56.006274238708315</v>
      </c>
      <c r="H28" s="13">
        <f aca="true" t="shared" si="0" ref="H28:H35">MAX(D28,F28)</f>
        <v>5.209885975693797</v>
      </c>
      <c r="I28" s="64">
        <f aca="true" t="shared" si="1" ref="I28:I35">MIN(E28,G28)</f>
        <v>20.839543902775187</v>
      </c>
      <c r="K28" s="19">
        <f aca="true" t="shared" si="2" ref="K28:K36">MIN(MAX(B28,H28),I28)</f>
        <v>5.209885975693797</v>
      </c>
      <c r="L28" s="13">
        <f aca="true" t="shared" si="3" ref="L28:L37">L27-K28</f>
        <v>151.08669329512009</v>
      </c>
      <c r="M28" s="60">
        <f>E11</f>
        <v>0.10197562354457665</v>
      </c>
    </row>
    <row r="29" spans="1:13" ht="12.75">
      <c r="A29" s="22" t="s">
        <v>3</v>
      </c>
      <c r="B29" s="23">
        <f>F12*L28/(SUM($F$12:$F$20))</f>
        <v>1.8064953531778956</v>
      </c>
      <c r="D29" s="19">
        <f>L28*E12/SUM(E12:$E$20)*(1-$F$5)</f>
        <v>3.6627077162453356</v>
      </c>
      <c r="E29" s="13">
        <f>L28*E12/SUM(E12:$E$20)*(1+$F$5)</f>
        <v>14.650830864981343</v>
      </c>
      <c r="F29" s="63">
        <f>L28-SUM(E13:$E$20)*L28*(1+$I$5)/SUM(E12:$E$20)</f>
        <v>-33.42220791073868</v>
      </c>
      <c r="G29" s="13">
        <f>L28-SUM(E13:$E$20)*L28*(1-$I$5)/SUM(E12:$E$20)</f>
        <v>51.73574649196537</v>
      </c>
      <c r="H29" s="13">
        <f t="shared" si="0"/>
        <v>3.6627077162453356</v>
      </c>
      <c r="I29" s="64">
        <f t="shared" si="1"/>
        <v>14.650830864981343</v>
      </c>
      <c r="K29" s="19">
        <f t="shared" si="2"/>
        <v>3.6627077162453356</v>
      </c>
      <c r="L29" s="13">
        <f>L28-K29</f>
        <v>147.42398557887475</v>
      </c>
      <c r="M29" s="60">
        <f>F12</f>
        <v>0.14279620111295407</v>
      </c>
    </row>
    <row r="30" spans="1:13" ht="12.75">
      <c r="A30" s="22" t="s">
        <v>4</v>
      </c>
      <c r="B30" s="23">
        <f>G13*L29/(SUM($G$13:$G$20))</f>
        <v>0.6362480630906429</v>
      </c>
      <c r="D30" s="19">
        <f>L29*F13/SUM(F13:$F$20)*(1-$F$5)</f>
        <v>9.994846479923712</v>
      </c>
      <c r="E30" s="13">
        <f>L29*F13/SUM(F13:$F$20)*(1+$F$5)</f>
        <v>39.97938591969485</v>
      </c>
      <c r="F30" s="63">
        <f>L29-SUM(F14:$F$20)*L29*(1+$I$5)/SUM(F13:$F$20)</f>
        <v>-11.743944613910372</v>
      </c>
      <c r="G30" s="13">
        <f>L29-SUM(F14:$F$20)*L29*(1-$I$5)/SUM(F13:$F$20)</f>
        <v>61.71817701352893</v>
      </c>
      <c r="H30" s="13">
        <f t="shared" si="0"/>
        <v>9.994846479923712</v>
      </c>
      <c r="I30" s="64">
        <f t="shared" si="1"/>
        <v>39.97938591969485</v>
      </c>
      <c r="K30" s="19">
        <f t="shared" si="2"/>
        <v>9.994846479923712</v>
      </c>
      <c r="L30" s="13">
        <f t="shared" si="3"/>
        <v>137.42913909895103</v>
      </c>
      <c r="M30" s="60">
        <f>G13</f>
        <v>0.042477873995556505</v>
      </c>
    </row>
    <row r="31" spans="1:13" ht="12.75">
      <c r="A31" s="22" t="s">
        <v>5</v>
      </c>
      <c r="B31" s="23">
        <f>H14*L30/(SUM($H$14:$H$20))</f>
        <v>11.621423846645774</v>
      </c>
      <c r="D31" s="19">
        <f>L30*G14/SUM(G14:$G$20)*(1-$F$5)</f>
        <v>11.21870523256743</v>
      </c>
      <c r="E31" s="13">
        <f>L30*G14/SUM(G14:$G$20)*(1+$F$5)</f>
        <v>44.87482093026972</v>
      </c>
      <c r="F31" s="63">
        <f>L30-SUM(G15:$G$20)*L30*(1+$I$5)/SUM(G14:$G$20)</f>
        <v>-4.767949723841156</v>
      </c>
      <c r="G31" s="13">
        <f>L30-SUM(G15:$G$20)*L30*(1-$I$5)/SUM(G14:$G$20)</f>
        <v>60.861475886678335</v>
      </c>
      <c r="H31" s="13">
        <f t="shared" si="0"/>
        <v>11.21870523256743</v>
      </c>
      <c r="I31" s="64">
        <f t="shared" si="1"/>
        <v>44.87482093026972</v>
      </c>
      <c r="K31" s="19">
        <f t="shared" si="2"/>
        <v>11.621423846645774</v>
      </c>
      <c r="L31" s="13">
        <f t="shared" si="3"/>
        <v>125.80771525230526</v>
      </c>
      <c r="M31" s="60">
        <f>H14</f>
        <v>0.7205210413530346</v>
      </c>
    </row>
    <row r="32" spans="1:13" ht="12.75">
      <c r="A32" s="22" t="s">
        <v>6</v>
      </c>
      <c r="B32" s="23">
        <f>I15*L31/(SUM($I$15:$I$20))</f>
        <v>0.8736778270709564</v>
      </c>
      <c r="D32" s="19">
        <f>L31*H15/SUM(H15:$H$20)*(1-$F$5)</f>
        <v>3.225838852623212</v>
      </c>
      <c r="E32" s="13">
        <f>L31*H15/SUM(H15:$H$20)*(1+$F$5)</f>
        <v>12.903355410492848</v>
      </c>
      <c r="F32" s="63">
        <f>L31-SUM(H16:$H$20)*L31*(1+$I$5)/SUM(H15:$H$20)</f>
        <v>-27.258338304666154</v>
      </c>
      <c r="G32" s="13">
        <f>L31-SUM(H16:$H$20)*L31*(1-$I$5)/SUM(H15:$H$20)</f>
        <v>43.38753256778219</v>
      </c>
      <c r="H32" s="13">
        <f t="shared" si="0"/>
        <v>3.225838852623212</v>
      </c>
      <c r="I32" s="64">
        <f t="shared" si="1"/>
        <v>12.903355410492848</v>
      </c>
      <c r="K32" s="19">
        <f t="shared" si="2"/>
        <v>3.225838852623212</v>
      </c>
      <c r="L32" s="13">
        <f t="shared" si="3"/>
        <v>122.58187639968205</v>
      </c>
      <c r="M32" s="60">
        <f>I15</f>
        <v>0.0510497240708702</v>
      </c>
    </row>
    <row r="33" spans="1:13" ht="12.75">
      <c r="A33" s="22" t="s">
        <v>7</v>
      </c>
      <c r="B33" s="23">
        <f>J16*L32/(SUM($J$16:$J$20))</f>
        <v>0.554991267891795</v>
      </c>
      <c r="D33" s="19">
        <f>L32*I16/SUM(I16:$I$20)*(1-$F$5)</f>
        <v>3.358407572594029</v>
      </c>
      <c r="E33" s="13">
        <f>L32*I16/SUM(I16:$I$20)*(1+$F$5)</f>
        <v>13.433630290376115</v>
      </c>
      <c r="F33" s="63">
        <f>L32-SUM(I17:$I$20)*L32*(1+$I$5)/SUM(I16:$I$20)</f>
        <v>-25.859738308974016</v>
      </c>
      <c r="G33" s="13">
        <f>L32-SUM(I17:$I$20)*L32*(1-$I$5)/SUM(I16:$I$20)</f>
        <v>42.651776171944164</v>
      </c>
      <c r="H33" s="13">
        <f t="shared" si="0"/>
        <v>3.358407572594029</v>
      </c>
      <c r="I33" s="64">
        <f t="shared" si="1"/>
        <v>13.433630290376115</v>
      </c>
      <c r="K33" s="19">
        <f t="shared" si="2"/>
        <v>3.358407572594029</v>
      </c>
      <c r="L33" s="13">
        <f t="shared" si="3"/>
        <v>119.22346882708801</v>
      </c>
      <c r="M33" s="60">
        <f>J16</f>
        <v>0.030927124113578026</v>
      </c>
    </row>
    <row r="34" spans="1:13" ht="12.75">
      <c r="A34" s="22" t="s">
        <v>8</v>
      </c>
      <c r="B34" s="23">
        <f>K17*L33/(SUM($K$17:$K$20))</f>
        <v>3.4627424880138733</v>
      </c>
      <c r="D34" s="19">
        <f>L33*J17/SUM(J17:$J$20)*(1-$F$5)</f>
        <v>2.1039435675368474</v>
      </c>
      <c r="E34" s="13">
        <f>L33*J17/SUM(J17:$J$20)*(1+$F$5)</f>
        <v>8.41577427014739</v>
      </c>
      <c r="F34" s="63">
        <f>L33-SUM(J18:$J$20)*L33*(1+$I$5)/SUM(J17:$J$20)</f>
        <v>-28.929224053631643</v>
      </c>
      <c r="G34" s="13">
        <f>L33-SUM(J18:$J$20)*L33*(1-$I$5)/SUM(J17:$J$20)</f>
        <v>39.4489418913159</v>
      </c>
      <c r="H34" s="13">
        <f t="shared" si="0"/>
        <v>2.1039435675368474</v>
      </c>
      <c r="I34" s="64">
        <f t="shared" si="1"/>
        <v>8.41577427014739</v>
      </c>
      <c r="K34" s="19">
        <f t="shared" si="2"/>
        <v>3.4627424880138733</v>
      </c>
      <c r="L34" s="13">
        <f t="shared" si="3"/>
        <v>115.76072633907414</v>
      </c>
      <c r="M34" s="60">
        <f>K17</f>
        <v>0.19443404411754137</v>
      </c>
    </row>
    <row r="35" spans="1:13" ht="12.75">
      <c r="A35" s="22" t="s">
        <v>9</v>
      </c>
      <c r="B35" s="23">
        <f>L18*L34/(SUM($L$18:$L$20))</f>
        <v>54.59469791390809</v>
      </c>
      <c r="D35" s="19">
        <f>L34*K18/SUM(K18:$K$20)*(1-$F$5)</f>
        <v>35.61868502740742</v>
      </c>
      <c r="E35" s="13">
        <f>L34*K18/SUM(K18:$K$20)*(1+$F$5)</f>
        <v>142.4747401096297</v>
      </c>
      <c r="F35" s="63">
        <f>L34-SUM(K19:$K$20)*L34*(1+$I$5)/SUM(K18:$K$20)</f>
        <v>81.03250843735191</v>
      </c>
      <c r="G35" s="13">
        <f>L34-SUM(K19:$K$20)*L34*(1-$I$5)/SUM(K18:$K$20)</f>
        <v>97.06091669968524</v>
      </c>
      <c r="H35" s="13">
        <f t="shared" si="0"/>
        <v>81.03250843735191</v>
      </c>
      <c r="I35" s="64">
        <f t="shared" si="1"/>
        <v>97.06091669968524</v>
      </c>
      <c r="K35" s="19">
        <f t="shared" si="2"/>
        <v>81.03250843735191</v>
      </c>
      <c r="L35" s="13">
        <f t="shared" si="3"/>
        <v>34.72821790172223</v>
      </c>
      <c r="M35" s="60">
        <f>L18</f>
        <v>1.3388485239164003</v>
      </c>
    </row>
    <row r="36" spans="1:13" ht="13.5" thickBot="1">
      <c r="A36" s="22" t="s">
        <v>10</v>
      </c>
      <c r="B36" s="23">
        <f>M19*L35/(SUM($M$19:$M$20))</f>
        <v>11.082291483063491</v>
      </c>
      <c r="D36" s="65">
        <f>L35*L19/SUM(L19:$L$20)*(1-$F$5)</f>
        <v>4.630429053562964</v>
      </c>
      <c r="E36" s="18">
        <f>L35*L19/SUM(L19:$L$20)*(1+$F$5)</f>
        <v>18.521716214251857</v>
      </c>
      <c r="F36" s="66">
        <f>L35-SUM(L20:$L$20)*L35*(1+$I$5)/SUM(L19:$L$20)</f>
        <v>4.630429053562963</v>
      </c>
      <c r="G36" s="18">
        <f>L35-SUM(L20:$L$20)*L35*(1-$I$5)/SUM(L19:$L$20)</f>
        <v>18.521716214251857</v>
      </c>
      <c r="H36" s="18">
        <f>MAX(D36,F36)</f>
        <v>4.630429053562964</v>
      </c>
      <c r="I36" s="67">
        <f>MIN(E36,G36)</f>
        <v>18.521716214251857</v>
      </c>
      <c r="K36" s="19">
        <f t="shared" si="2"/>
        <v>11.082291483063491</v>
      </c>
      <c r="L36" s="13">
        <f t="shared" si="3"/>
        <v>23.64592641865874</v>
      </c>
      <c r="M36" s="60">
        <f>M19</f>
        <v>0.46867656131749513</v>
      </c>
    </row>
    <row r="37" spans="1:13" ht="13.5" thickBot="1">
      <c r="A37" s="24" t="s">
        <v>11</v>
      </c>
      <c r="B37" s="25">
        <f>$C$5-SUM(K26:K36)</f>
        <v>23.645926418658718</v>
      </c>
      <c r="F37" s="62"/>
      <c r="K37" s="65">
        <f>B37</f>
        <v>23.645926418658718</v>
      </c>
      <c r="L37" s="18">
        <f t="shared" si="3"/>
        <v>0</v>
      </c>
      <c r="M37" s="61">
        <f>N20</f>
        <v>0.5813763622547145</v>
      </c>
    </row>
    <row r="38" ht="13.5" thickBot="1">
      <c r="K38" s="17">
        <f>SUM(K26:K37)</f>
        <v>172.5</v>
      </c>
    </row>
    <row r="41" ht="13.5" thickBot="1">
      <c r="D41" s="5"/>
    </row>
    <row r="42" spans="1:13" ht="26.25" thickBot="1">
      <c r="A42" s="20" t="s">
        <v>25</v>
      </c>
      <c r="B42" s="34" t="s">
        <v>24</v>
      </c>
      <c r="D42" s="77" t="s">
        <v>54</v>
      </c>
      <c r="E42" s="77" t="s">
        <v>55</v>
      </c>
      <c r="F42" s="77" t="s">
        <v>21</v>
      </c>
      <c r="G42" s="77" t="s">
        <v>22</v>
      </c>
      <c r="H42" s="78" t="s">
        <v>52</v>
      </c>
      <c r="I42" s="78" t="s">
        <v>53</v>
      </c>
      <c r="J42" s="14"/>
      <c r="K42" s="27" t="s">
        <v>15</v>
      </c>
      <c r="L42" s="28" t="s">
        <v>14</v>
      </c>
      <c r="M42" s="29" t="s">
        <v>13</v>
      </c>
    </row>
    <row r="43" spans="1:13" ht="166.5" thickBot="1">
      <c r="A43" s="35" t="s">
        <v>27</v>
      </c>
      <c r="B43" s="37" t="s">
        <v>62</v>
      </c>
      <c r="D43" s="35" t="s">
        <v>69</v>
      </c>
      <c r="E43" s="35" t="s">
        <v>68</v>
      </c>
      <c r="F43" s="36" t="s">
        <v>66</v>
      </c>
      <c r="G43" s="36" t="s">
        <v>67</v>
      </c>
      <c r="H43" s="37" t="s">
        <v>56</v>
      </c>
      <c r="I43" s="37" t="s">
        <v>57</v>
      </c>
      <c r="J43" s="33"/>
      <c r="K43" s="35" t="s">
        <v>59</v>
      </c>
      <c r="L43" s="36" t="s">
        <v>28</v>
      </c>
      <c r="M43" s="37" t="s">
        <v>58</v>
      </c>
    </row>
  </sheetData>
  <sheetProtection/>
  <conditionalFormatting sqref="K38">
    <cfRule type="cellIs" priority="2" dxfId="0" operator="notEqual">
      <formula>$C$5</formula>
    </cfRule>
  </conditionalFormatting>
  <conditionalFormatting sqref="K38">
    <cfRule type="cellIs" priority="1" dxfId="0" operator="notEqual">
      <formula>$C$5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2:T43"/>
  <sheetViews>
    <sheetView showGridLines="0" zoomScale="85" zoomScaleNormal="85" zoomScalePageLayoutView="0" workbookViewId="0" topLeftCell="A1">
      <pane ySplit="8" topLeftCell="A9" activePane="bottomLeft" state="frozen"/>
      <selection pane="topLeft" activeCell="A1" sqref="A1"/>
      <selection pane="bottomLeft" activeCell="X48" sqref="X48"/>
    </sheetView>
  </sheetViews>
  <sheetFormatPr defaultColWidth="9.140625" defaultRowHeight="12.75"/>
  <cols>
    <col min="1" max="1" width="11.57421875" style="0" customWidth="1"/>
    <col min="2" max="2" width="10.140625" style="0" customWidth="1"/>
    <col min="3" max="5" width="11.28125" style="0" customWidth="1"/>
    <col min="6" max="6" width="11.8515625" style="0" customWidth="1"/>
    <col min="7" max="13" width="11.28125" style="0" customWidth="1"/>
  </cols>
  <sheetData>
    <row r="2" spans="4:7" ht="26.25">
      <c r="D2" s="4"/>
      <c r="G2" s="31" t="s">
        <v>60</v>
      </c>
    </row>
    <row r="5" spans="1:12" ht="12.75">
      <c r="A5" t="s">
        <v>20</v>
      </c>
      <c r="B5" s="7" t="s">
        <v>12</v>
      </c>
      <c r="C5" s="80">
        <f>C6*C7</f>
        <v>172.5</v>
      </c>
      <c r="E5" s="7" t="s">
        <v>16</v>
      </c>
      <c r="F5" s="11">
        <v>0.6</v>
      </c>
      <c r="H5" s="7" t="s">
        <v>17</v>
      </c>
      <c r="I5" s="11">
        <v>0.3</v>
      </c>
      <c r="L5" t="s">
        <v>23</v>
      </c>
    </row>
    <row r="6" spans="2:13" ht="12.75">
      <c r="B6" s="7" t="s">
        <v>64</v>
      </c>
      <c r="C6" s="10">
        <v>575</v>
      </c>
      <c r="L6" s="11"/>
      <c r="M6" t="s">
        <v>47</v>
      </c>
    </row>
    <row r="7" spans="2:13" ht="12.75">
      <c r="B7" s="7" t="s">
        <v>65</v>
      </c>
      <c r="C7" s="10">
        <v>0.3</v>
      </c>
      <c r="L7" s="16"/>
      <c r="M7" t="s">
        <v>48</v>
      </c>
    </row>
    <row r="8" spans="3:13" ht="12.75">
      <c r="C8" s="3"/>
      <c r="D8" s="3"/>
      <c r="E8" s="3"/>
      <c r="F8" s="3"/>
      <c r="G8" s="3"/>
      <c r="H8" s="3"/>
      <c r="I8" s="3"/>
      <c r="J8" s="3"/>
      <c r="K8" s="3"/>
      <c r="L8" s="9"/>
      <c r="M8" t="s">
        <v>44</v>
      </c>
    </row>
    <row r="9" spans="1:14" ht="12.75">
      <c r="A9" s="6" t="s">
        <v>0</v>
      </c>
      <c r="B9" s="32">
        <v>0.242760123027937</v>
      </c>
      <c r="C9" s="26">
        <v>0.242760123027937</v>
      </c>
      <c r="D9" s="12"/>
      <c r="E9" s="12"/>
      <c r="F9" s="12"/>
      <c r="G9" s="12"/>
      <c r="H9" s="12"/>
      <c r="I9" s="12"/>
      <c r="J9" s="12"/>
      <c r="K9" s="12"/>
      <c r="L9" s="12"/>
      <c r="M9" s="12"/>
      <c r="N9" s="12"/>
    </row>
    <row r="10" spans="1:14" ht="12.75">
      <c r="A10" s="6" t="s">
        <v>1</v>
      </c>
      <c r="B10" s="32">
        <v>0.3389320688483717</v>
      </c>
      <c r="C10" s="32">
        <v>0.3389320688483717</v>
      </c>
      <c r="D10" s="26">
        <v>0.3389320688483717</v>
      </c>
      <c r="E10" s="12"/>
      <c r="F10" s="12"/>
      <c r="G10" s="12"/>
      <c r="H10" s="12"/>
      <c r="I10" s="12"/>
      <c r="J10" s="12"/>
      <c r="K10" s="12"/>
      <c r="L10" s="12"/>
      <c r="M10" s="12"/>
      <c r="N10" s="12"/>
    </row>
    <row r="11" spans="1:14" ht="12.75">
      <c r="A11" s="6" t="s">
        <v>2</v>
      </c>
      <c r="B11" s="32">
        <v>0.10197562354457665</v>
      </c>
      <c r="C11" s="32">
        <v>0.10197562354457665</v>
      </c>
      <c r="D11" s="32">
        <v>0.10197562354457665</v>
      </c>
      <c r="E11" s="26">
        <v>0.10197562354457665</v>
      </c>
      <c r="F11" s="12"/>
      <c r="G11" s="12"/>
      <c r="H11" s="12"/>
      <c r="I11" s="12"/>
      <c r="J11" s="12"/>
      <c r="K11" s="12"/>
      <c r="L11" s="12"/>
      <c r="M11" s="12"/>
      <c r="N11" s="12"/>
    </row>
    <row r="12" spans="1:14" ht="12.75">
      <c r="A12" s="6" t="s">
        <v>3</v>
      </c>
      <c r="B12" s="32">
        <v>0.14279620111295407</v>
      </c>
      <c r="C12" s="32">
        <v>0.14279620111295407</v>
      </c>
      <c r="D12" s="32">
        <v>0.14279620111295407</v>
      </c>
      <c r="E12" s="32">
        <v>0.14279620111295407</v>
      </c>
      <c r="F12" s="26">
        <v>0.14279620111295407</v>
      </c>
      <c r="G12" s="12"/>
      <c r="H12" s="12"/>
      <c r="I12" s="12"/>
      <c r="J12" s="12"/>
      <c r="K12" s="12"/>
      <c r="L12" s="12"/>
      <c r="M12" s="12"/>
      <c r="N12" s="12"/>
    </row>
    <row r="13" spans="1:14" ht="12.75">
      <c r="A13" s="6" t="s">
        <v>4</v>
      </c>
      <c r="B13" s="32">
        <v>0.042477873995556505</v>
      </c>
      <c r="C13" s="32">
        <v>0.042477873995556505</v>
      </c>
      <c r="D13" s="32">
        <v>0.042477873995556505</v>
      </c>
      <c r="E13" s="32">
        <v>0.042477873995556505</v>
      </c>
      <c r="F13" s="32">
        <v>0.042477873995556505</v>
      </c>
      <c r="G13" s="26">
        <v>0.042477873995556505</v>
      </c>
      <c r="H13" s="12"/>
      <c r="I13" s="12"/>
      <c r="J13" s="12"/>
      <c r="K13" s="12"/>
      <c r="L13" s="12"/>
      <c r="M13" s="12"/>
      <c r="N13" s="12"/>
    </row>
    <row r="14" spans="1:14" ht="12.75">
      <c r="A14" s="6" t="s">
        <v>5</v>
      </c>
      <c r="B14" s="32">
        <v>0.7205210413530346</v>
      </c>
      <c r="C14" s="32">
        <v>0.7205210413530346</v>
      </c>
      <c r="D14" s="32">
        <v>0.7205210413530346</v>
      </c>
      <c r="E14" s="32">
        <v>0.7205210413530346</v>
      </c>
      <c r="F14" s="32">
        <v>0.7205210413530346</v>
      </c>
      <c r="G14" s="32">
        <v>0.7205210413530346</v>
      </c>
      <c r="H14" s="26">
        <v>0.7205210413530346</v>
      </c>
      <c r="I14" s="12"/>
      <c r="J14" s="12"/>
      <c r="K14" s="12"/>
      <c r="L14" s="12"/>
      <c r="M14" s="12"/>
      <c r="N14" s="12"/>
    </row>
    <row r="15" spans="1:14" ht="12.75">
      <c r="A15" s="6" t="s">
        <v>6</v>
      </c>
      <c r="B15" s="32">
        <v>0.0510497240708702</v>
      </c>
      <c r="C15" s="32">
        <v>0.0510497240708702</v>
      </c>
      <c r="D15" s="32">
        <v>0.0510497240708702</v>
      </c>
      <c r="E15" s="32">
        <v>0.0510497240708702</v>
      </c>
      <c r="F15" s="32">
        <v>0.0510497240708702</v>
      </c>
      <c r="G15" s="32">
        <v>0.0510497240708702</v>
      </c>
      <c r="H15" s="32">
        <v>0.0510497240708702</v>
      </c>
      <c r="I15" s="26">
        <v>0.0510497240708702</v>
      </c>
      <c r="J15" s="12"/>
      <c r="K15" s="12"/>
      <c r="L15" s="12"/>
      <c r="M15" s="12"/>
      <c r="N15" s="12"/>
    </row>
    <row r="16" spans="1:14" ht="12.75">
      <c r="A16" s="6" t="s">
        <v>7</v>
      </c>
      <c r="B16" s="32">
        <v>0.030927124113578026</v>
      </c>
      <c r="C16" s="32">
        <v>0.030927124113578026</v>
      </c>
      <c r="D16" s="32">
        <v>0.030927124113578026</v>
      </c>
      <c r="E16" s="32">
        <v>0.030927124113578026</v>
      </c>
      <c r="F16" s="32">
        <v>0.030927124113578026</v>
      </c>
      <c r="G16" s="32">
        <v>0.030927124113578026</v>
      </c>
      <c r="H16" s="32">
        <v>0.030927124113578026</v>
      </c>
      <c r="I16" s="32">
        <v>0.030927124113578026</v>
      </c>
      <c r="J16" s="26">
        <v>0.030927124113578026</v>
      </c>
      <c r="K16" s="12"/>
      <c r="L16" s="12"/>
      <c r="M16" s="12"/>
      <c r="N16" s="12"/>
    </row>
    <row r="17" spans="1:14" ht="12.75">
      <c r="A17" s="6" t="s">
        <v>8</v>
      </c>
      <c r="B17" s="32">
        <v>0.19443404411754137</v>
      </c>
      <c r="C17" s="32">
        <v>0.19443404411754137</v>
      </c>
      <c r="D17" s="32">
        <v>0.19443404411754137</v>
      </c>
      <c r="E17" s="32">
        <v>0.19443404411754137</v>
      </c>
      <c r="F17" s="32">
        <v>0.19443404411754137</v>
      </c>
      <c r="G17" s="32">
        <v>0.19443404411754137</v>
      </c>
      <c r="H17" s="32">
        <v>0.19443404411754137</v>
      </c>
      <c r="I17" s="32">
        <v>0.19443404411754137</v>
      </c>
      <c r="J17" s="32">
        <v>0.19443404411754137</v>
      </c>
      <c r="K17" s="26">
        <v>0.19443404411754137</v>
      </c>
      <c r="L17" s="12"/>
      <c r="M17" s="12"/>
      <c r="N17" s="12"/>
    </row>
    <row r="18" spans="1:14" ht="12.75">
      <c r="A18" s="6" t="s">
        <v>9</v>
      </c>
      <c r="B18" s="32">
        <v>1.3388485239164003</v>
      </c>
      <c r="C18" s="32">
        <v>1.3388485239164003</v>
      </c>
      <c r="D18" s="32">
        <v>1.3388485239164003</v>
      </c>
      <c r="E18" s="32">
        <v>1.3388485239164003</v>
      </c>
      <c r="F18" s="32">
        <v>1.3388485239164003</v>
      </c>
      <c r="G18" s="32">
        <v>1.3388485239164003</v>
      </c>
      <c r="H18" s="32">
        <v>1.3388485239164003</v>
      </c>
      <c r="I18" s="32">
        <v>1.3388485239164003</v>
      </c>
      <c r="J18" s="32">
        <v>1.3388485239164003</v>
      </c>
      <c r="K18" s="32">
        <v>1.3388485239164003</v>
      </c>
      <c r="L18" s="26">
        <v>1.3388485239164003</v>
      </c>
      <c r="M18" s="12"/>
      <c r="N18" s="12"/>
    </row>
    <row r="19" spans="1:14" ht="12.75">
      <c r="A19" s="6" t="s">
        <v>10</v>
      </c>
      <c r="B19" s="32">
        <v>0.46867656131749513</v>
      </c>
      <c r="C19" s="32">
        <v>0.46867656131749513</v>
      </c>
      <c r="D19" s="32">
        <v>0.46867656131749513</v>
      </c>
      <c r="E19" s="32">
        <v>0.46867656131749513</v>
      </c>
      <c r="F19" s="32">
        <v>0.46867656131749513</v>
      </c>
      <c r="G19" s="32">
        <v>0.46867656131749513</v>
      </c>
      <c r="H19" s="32">
        <v>0.46867656131749513</v>
      </c>
      <c r="I19" s="32">
        <v>0.46867656131749513</v>
      </c>
      <c r="J19" s="32">
        <v>0.46867656131749513</v>
      </c>
      <c r="K19" s="32">
        <v>0.46867656131749513</v>
      </c>
      <c r="L19" s="32">
        <v>0.46867656131749513</v>
      </c>
      <c r="M19" s="26">
        <v>0.46867656131749513</v>
      </c>
      <c r="N19" s="12"/>
    </row>
    <row r="20" spans="1:14" ht="12.75">
      <c r="A20" s="6" t="s">
        <v>11</v>
      </c>
      <c r="B20" s="32">
        <v>0.5813763622547145</v>
      </c>
      <c r="C20" s="32">
        <v>0.5813763622547145</v>
      </c>
      <c r="D20" s="32">
        <v>0.5813763622547145</v>
      </c>
      <c r="E20" s="32">
        <v>0.5813763622547145</v>
      </c>
      <c r="F20" s="32">
        <v>0.5813763622547145</v>
      </c>
      <c r="G20" s="32">
        <v>0.5813763622547145</v>
      </c>
      <c r="H20" s="32">
        <v>0.5813763622547145</v>
      </c>
      <c r="I20" s="32">
        <v>0.5813763622547145</v>
      </c>
      <c r="J20" s="32">
        <v>0.5813763622547145</v>
      </c>
      <c r="K20" s="32">
        <v>0.5813763622547145</v>
      </c>
      <c r="L20" s="32">
        <v>0.5813763622547145</v>
      </c>
      <c r="M20" s="32">
        <v>0.5813763622547145</v>
      </c>
      <c r="N20" s="26">
        <v>0.5813763622547145</v>
      </c>
    </row>
    <row r="22" spans="8:10" ht="12.75">
      <c r="H22" s="2"/>
      <c r="I22" s="2"/>
      <c r="J22" s="2"/>
    </row>
    <row r="23" spans="4:13" ht="12.75">
      <c r="D23" s="5"/>
      <c r="E23" s="1"/>
      <c r="F23" s="1"/>
      <c r="G23" s="1"/>
      <c r="H23" s="2"/>
      <c r="I23" s="2"/>
      <c r="J23" s="2"/>
      <c r="K23" s="1"/>
      <c r="L23" s="1"/>
      <c r="M23" s="1"/>
    </row>
    <row r="24" s="14" customFormat="1" ht="28.5" customHeight="1" thickBot="1"/>
    <row r="25" spans="1:13" ht="26.25" thickBot="1">
      <c r="A25" s="20" t="s">
        <v>25</v>
      </c>
      <c r="B25" s="21" t="s">
        <v>24</v>
      </c>
      <c r="D25" s="72" t="s">
        <v>50</v>
      </c>
      <c r="E25" s="73" t="s">
        <v>51</v>
      </c>
      <c r="F25" s="74" t="s">
        <v>21</v>
      </c>
      <c r="G25" s="74" t="s">
        <v>22</v>
      </c>
      <c r="H25" s="75" t="s">
        <v>52</v>
      </c>
      <c r="I25" s="79" t="s">
        <v>53</v>
      </c>
      <c r="J25" s="14"/>
      <c r="K25" s="27" t="s">
        <v>15</v>
      </c>
      <c r="L25" s="28" t="s">
        <v>14</v>
      </c>
      <c r="M25" s="29" t="s">
        <v>13</v>
      </c>
    </row>
    <row r="26" spans="1:13" ht="12.75">
      <c r="A26" s="22" t="s">
        <v>0</v>
      </c>
      <c r="B26" s="23">
        <f>C9*$C$5/(SUM($C$9:$C$20))</f>
        <v>9.842146423365135</v>
      </c>
      <c r="D26" s="68">
        <f>$C$5*B9/SUM(B9:$B$20)*(1-$F$5)</f>
        <v>3.936858569346054</v>
      </c>
      <c r="E26" s="69">
        <f>$C$5*B9/SUM(B9:$B$20)*(1+$F$5)</f>
        <v>15.747434277384215</v>
      </c>
      <c r="F26" s="70">
        <f>$C$5-SUM(B10:$B$20)*$C$5*(1+$I$5)/SUM(B9:$B$20)</f>
        <v>-38.95520964962532</v>
      </c>
      <c r="G26" s="69">
        <f>$C$5-SUM(B10:$B$20)*$C$5*(1-$I$5)/SUM(B9:$B$20)</f>
        <v>58.639502496355604</v>
      </c>
      <c r="H26" s="69">
        <f>MAX(D26,F26)</f>
        <v>3.936858569346054</v>
      </c>
      <c r="I26" s="71">
        <f>MIN(E26,G26)</f>
        <v>15.747434277384215</v>
      </c>
      <c r="K26" s="76">
        <f>MIN(MAX(B26,H26),I26)</f>
        <v>9.842146423365135</v>
      </c>
      <c r="L26" s="30">
        <f>C5-K26</f>
        <v>162.65785357663486</v>
      </c>
      <c r="M26" s="59">
        <f>C9</f>
        <v>0.242760123027937</v>
      </c>
    </row>
    <row r="27" spans="1:13" ht="12.75">
      <c r="A27" s="22" t="s">
        <v>1</v>
      </c>
      <c r="B27" s="23">
        <f>D10*L26/(SUM($D$10:$D$20))</f>
        <v>13.741215021529127</v>
      </c>
      <c r="D27" s="19">
        <f>L26*C10/SUM(C10:$C$20)*(1-$F$5)</f>
        <v>5.496486008611651</v>
      </c>
      <c r="E27" s="13">
        <f>L26*C10/SUM(C10:$C$20)*(1+$F$5)</f>
        <v>21.985944034446604</v>
      </c>
      <c r="F27" s="63">
        <f>L26-SUM(C11:$C$20)*L26*(1+$I$5)/SUM(C10:$C$20)</f>
        <v>-30.933776545002587</v>
      </c>
      <c r="G27" s="13">
        <f>L26-SUM(C11:$C$20)*L26*(1-$I$5)/SUM(C10:$C$20)</f>
        <v>58.41620658806086</v>
      </c>
      <c r="H27" s="13">
        <f>MAX(D27,F27)</f>
        <v>5.496486008611651</v>
      </c>
      <c r="I27" s="64">
        <f>MIN(E27,G27)</f>
        <v>21.985944034446604</v>
      </c>
      <c r="K27" s="19">
        <f>MIN(MAX(B27,H27),I27)</f>
        <v>13.741215021529127</v>
      </c>
      <c r="L27" s="13">
        <f>L26-K27</f>
        <v>148.91663855510575</v>
      </c>
      <c r="M27" s="60">
        <f>D10</f>
        <v>0.3389320688483717</v>
      </c>
    </row>
    <row r="28" spans="1:13" ht="12.75">
      <c r="A28" s="22" t="s">
        <v>2</v>
      </c>
      <c r="B28" s="23">
        <f>E11*(L27)/(SUM($E$11:$E$20))</f>
        <v>4.134365257444621</v>
      </c>
      <c r="D28" s="19">
        <f>L27*D11/SUM(D11:$D$20)*(1-$F$5)</f>
        <v>1.6537461029778484</v>
      </c>
      <c r="E28" s="13">
        <f>L27*D11/SUM(D11:$D$20)*(1+$F$5)</f>
        <v>6.614984411911394</v>
      </c>
      <c r="F28" s="63">
        <f>L27-SUM(D12:$D$20)*L27*(1+$I$5)/SUM(D11:$D$20)</f>
        <v>-39.30031673185371</v>
      </c>
      <c r="G28" s="13">
        <f>L27-SUM(D12:$D$20)*L27*(1-$I$5)/SUM(D11:$D$20)</f>
        <v>47.56904724674297</v>
      </c>
      <c r="H28" s="13">
        <f aca="true" t="shared" si="0" ref="H28:H35">MAX(D28,F28)</f>
        <v>1.6537461029778484</v>
      </c>
      <c r="I28" s="64">
        <f aca="true" t="shared" si="1" ref="I28:I35">MIN(E28,G28)</f>
        <v>6.614984411911394</v>
      </c>
      <c r="K28" s="19">
        <f aca="true" t="shared" si="2" ref="K28:K36">MIN(MAX(B28,H28),I28)</f>
        <v>4.134365257444621</v>
      </c>
      <c r="L28" s="13">
        <f aca="true" t="shared" si="3" ref="L28:L37">L27-K28</f>
        <v>144.78227329766113</v>
      </c>
      <c r="M28" s="60">
        <f>E11</f>
        <v>0.10197562354457665</v>
      </c>
    </row>
    <row r="29" spans="1:13" ht="12.75">
      <c r="A29" s="22" t="s">
        <v>3</v>
      </c>
      <c r="B29" s="23">
        <f>F12*L28/(SUM($F$12:$F$20))</f>
        <v>5.789340944979884</v>
      </c>
      <c r="D29" s="19">
        <f>L28*E12/SUM(E12:$E$20)*(1-$F$5)</f>
        <v>2.3157363779919535</v>
      </c>
      <c r="E29" s="13">
        <f>L28*E12/SUM(E12:$E$20)*(1+$F$5)</f>
        <v>9.262945511967814</v>
      </c>
      <c r="F29" s="63">
        <f>L28-SUM(E13:$E$20)*L28*(1+$I$5)/SUM(E12:$E$20)</f>
        <v>-35.908538760824484</v>
      </c>
      <c r="G29" s="13">
        <f>L28-SUM(E13:$E$20)*L28*(1-$I$5)/SUM(E12:$E$20)</f>
        <v>47.487220650784266</v>
      </c>
      <c r="H29" s="13">
        <f t="shared" si="0"/>
        <v>2.3157363779919535</v>
      </c>
      <c r="I29" s="64">
        <f t="shared" si="1"/>
        <v>9.262945511967814</v>
      </c>
      <c r="K29" s="19">
        <f t="shared" si="2"/>
        <v>5.789340944979884</v>
      </c>
      <c r="L29" s="13">
        <f>L28-K29</f>
        <v>138.99293235268124</v>
      </c>
      <c r="M29" s="60">
        <f>F12</f>
        <v>0.14279620111295407</v>
      </c>
    </row>
    <row r="30" spans="1:13" ht="12.75">
      <c r="A30" s="22" t="s">
        <v>4</v>
      </c>
      <c r="B30" s="23">
        <f>G13*L29/(SUM($G$13:$G$20))</f>
        <v>1.7221669292423665</v>
      </c>
      <c r="D30" s="19">
        <f>L29*F13/SUM(F13:$F$20)*(1-$F$5)</f>
        <v>0.6888667716969467</v>
      </c>
      <c r="E30" s="13">
        <f>L29*F13/SUM(F13:$F$20)*(1+$F$5)</f>
        <v>2.7554670867877866</v>
      </c>
      <c r="F30" s="63">
        <f>L29-SUM(F14:$F$20)*L29*(1+$I$5)/SUM(F13:$F$20)</f>
        <v>-39.45906269778928</v>
      </c>
      <c r="G30" s="13">
        <f>L29-SUM(F14:$F$20)*L29*(1-$I$5)/SUM(F13:$F$20)</f>
        <v>42.90339655627403</v>
      </c>
      <c r="H30" s="13">
        <f t="shared" si="0"/>
        <v>0.6888667716969467</v>
      </c>
      <c r="I30" s="64">
        <f t="shared" si="1"/>
        <v>2.7554670867877866</v>
      </c>
      <c r="K30" s="19">
        <f t="shared" si="2"/>
        <v>1.7221669292423665</v>
      </c>
      <c r="L30" s="13">
        <f t="shared" si="3"/>
        <v>137.27076542343886</v>
      </c>
      <c r="M30" s="60">
        <f>G13</f>
        <v>0.042477873995556505</v>
      </c>
    </row>
    <row r="31" spans="1:20" ht="12.75">
      <c r="A31" s="22" t="s">
        <v>5</v>
      </c>
      <c r="B31" s="23">
        <f>H14*L30/(SUM($H$14:$H$20))</f>
        <v>29.21185531486982</v>
      </c>
      <c r="D31" s="19">
        <f>L30*G14/SUM(G14:$G$20)*(1-$F$5)</f>
        <v>11.684742125947928</v>
      </c>
      <c r="E31" s="13">
        <f>L30*G14/SUM(G14:$G$20)*(1+$F$5)</f>
        <v>46.73896850379171</v>
      </c>
      <c r="F31" s="63">
        <f>L30-SUM(G15:$G$20)*L30*(1+$I$5)/SUM(G14:$G$20)</f>
        <v>-3.20581771770091</v>
      </c>
      <c r="G31" s="13">
        <f>L30-SUM(G15:$G$20)*L30*(1-$I$5)/SUM(G14:$G$20)</f>
        <v>61.62952834744053</v>
      </c>
      <c r="H31" s="13">
        <f t="shared" si="0"/>
        <v>11.684742125947928</v>
      </c>
      <c r="I31" s="64">
        <f t="shared" si="1"/>
        <v>46.73896850379171</v>
      </c>
      <c r="K31" s="19">
        <f t="shared" si="2"/>
        <v>29.21185531486982</v>
      </c>
      <c r="L31" s="13">
        <f t="shared" si="3"/>
        <v>108.05891010856904</v>
      </c>
      <c r="M31" s="60">
        <f>H14</f>
        <v>0.7205210413530346</v>
      </c>
      <c r="R31" t="s">
        <v>25</v>
      </c>
      <c r="S31" t="s">
        <v>72</v>
      </c>
      <c r="T31" t="s">
        <v>73</v>
      </c>
    </row>
    <row r="32" spans="1:20" ht="12.75">
      <c r="A32" s="22" t="s">
        <v>6</v>
      </c>
      <c r="B32" s="23">
        <f>I15*L31/(SUM($I$15:$I$20))</f>
        <v>2.069692719343659</v>
      </c>
      <c r="D32" s="19">
        <f>L31*H15/SUM(H15:$H$20)*(1-$F$5)</f>
        <v>0.8278770877374637</v>
      </c>
      <c r="E32" s="13">
        <f>L31*H15/SUM(H15:$H$20)*(1+$F$5)</f>
        <v>3.311508350949855</v>
      </c>
      <c r="F32" s="63">
        <f>L31-SUM(H16:$H$20)*L31*(1+$I$5)/SUM(H15:$H$20)</f>
        <v>-29.727072497423976</v>
      </c>
      <c r="G32" s="13">
        <f>L31-SUM(H16:$H$20)*L31*(1-$I$5)/SUM(H15:$H$20)</f>
        <v>33.866457936111274</v>
      </c>
      <c r="H32" s="13">
        <f t="shared" si="0"/>
        <v>0.8278770877374637</v>
      </c>
      <c r="I32" s="64">
        <f t="shared" si="1"/>
        <v>3.311508350949855</v>
      </c>
      <c r="K32" s="19">
        <f t="shared" si="2"/>
        <v>2.069692719343659</v>
      </c>
      <c r="L32" s="13">
        <f t="shared" si="3"/>
        <v>105.98921738922537</v>
      </c>
      <c r="M32" s="60">
        <f>I15</f>
        <v>0.0510497240708702</v>
      </c>
      <c r="R32" t="s">
        <v>71</v>
      </c>
      <c r="S32">
        <v>1680</v>
      </c>
      <c r="T32">
        <v>0.24</v>
      </c>
    </row>
    <row r="33" spans="1:20" ht="12.75">
      <c r="A33" s="22" t="s">
        <v>7</v>
      </c>
      <c r="B33" s="23">
        <f>J16*L32/(SUM($J$16:$J$20))</f>
        <v>1.2538685521443413</v>
      </c>
      <c r="D33" s="19">
        <f>L32*I16/SUM(I16:$I$20)*(1-$F$5)</f>
        <v>0.5015474208577365</v>
      </c>
      <c r="E33" s="13">
        <f>L32*I16/SUM(I16:$I$20)*(1+$F$5)</f>
        <v>2.006189683430946</v>
      </c>
      <c r="F33" s="63">
        <f>L32-SUM(I17:$I$20)*L32*(1+$I$5)/SUM(I16:$I$20)</f>
        <v>-30.166736098979968</v>
      </c>
      <c r="G33" s="13">
        <f>L32-SUM(I17:$I$20)*L32*(1-$I$5)/SUM(I16:$I$20)</f>
        <v>32.67447320326865</v>
      </c>
      <c r="H33" s="13">
        <f t="shared" si="0"/>
        <v>0.5015474208577365</v>
      </c>
      <c r="I33" s="64">
        <f t="shared" si="1"/>
        <v>2.006189683430946</v>
      </c>
      <c r="K33" s="19">
        <f t="shared" si="2"/>
        <v>1.2538685521443413</v>
      </c>
      <c r="L33" s="13">
        <f t="shared" si="3"/>
        <v>104.73534883708103</v>
      </c>
      <c r="M33" s="60">
        <f>J16</f>
        <v>0.030927124113578026</v>
      </c>
      <c r="R33" t="s">
        <v>1</v>
      </c>
      <c r="S33">
        <v>1640</v>
      </c>
      <c r="T33">
        <v>0.33</v>
      </c>
    </row>
    <row r="34" spans="1:20" ht="12.75">
      <c r="A34" s="22" t="s">
        <v>8</v>
      </c>
      <c r="B34" s="23">
        <f>K17*L33/(SUM($K$17:$K$20))</f>
        <v>7.882877583117943</v>
      </c>
      <c r="D34" s="19">
        <f>L33*J17/SUM(J17:$J$20)*(1-$F$5)</f>
        <v>3.1531510332471773</v>
      </c>
      <c r="E34" s="13">
        <f>L33*J17/SUM(J17:$J$20)*(1+$F$5)</f>
        <v>12.612604132988709</v>
      </c>
      <c r="F34" s="63">
        <f>L33-SUM(J18:$J$20)*L33*(1+$I$5)/SUM(J17:$J$20)</f>
        <v>-21.172863793070988</v>
      </c>
      <c r="G34" s="13">
        <f>L33-SUM(J18:$J$20)*L33*(1-$I$5)/SUM(J17:$J$20)</f>
        <v>36.93861895930688</v>
      </c>
      <c r="H34" s="13">
        <f t="shared" si="0"/>
        <v>3.1531510332471773</v>
      </c>
      <c r="I34" s="64">
        <f t="shared" si="1"/>
        <v>12.612604132988709</v>
      </c>
      <c r="K34" s="19">
        <f t="shared" si="2"/>
        <v>7.882877583117943</v>
      </c>
      <c r="L34" s="13">
        <f t="shared" si="3"/>
        <v>96.85247125396309</v>
      </c>
      <c r="M34" s="60">
        <f>K17</f>
        <v>0.19443404411754137</v>
      </c>
      <c r="R34" t="s">
        <v>2</v>
      </c>
      <c r="S34">
        <v>1575</v>
      </c>
      <c r="T34">
        <v>0.1</v>
      </c>
    </row>
    <row r="35" spans="1:20" ht="12.75">
      <c r="A35" s="22" t="s">
        <v>9</v>
      </c>
      <c r="B35" s="23">
        <f>L18*L34/(SUM($L$18:$L$20))</f>
        <v>54.280509692998685</v>
      </c>
      <c r="D35" s="19">
        <f>L34*K18/SUM(K18:$K$20)*(1-$F$5)</f>
        <v>21.712203877199475</v>
      </c>
      <c r="E35" s="13">
        <f>L34*K18/SUM(K18:$K$20)*(1+$F$5)</f>
        <v>86.8488155087979</v>
      </c>
      <c r="F35" s="63">
        <f>L34-SUM(K19:$K$20)*L34*(1+$I$5)/SUM(K18:$K$20)</f>
        <v>41.508921224709354</v>
      </c>
      <c r="G35" s="13">
        <f>L34-SUM(K19:$K$20)*L34*(1-$I$5)/SUM(K18:$K$20)</f>
        <v>67.052098161288</v>
      </c>
      <c r="H35" s="13">
        <f t="shared" si="0"/>
        <v>41.508921224709354</v>
      </c>
      <c r="I35" s="64">
        <f t="shared" si="1"/>
        <v>67.052098161288</v>
      </c>
      <c r="K35" s="19">
        <f t="shared" si="2"/>
        <v>54.280509692998685</v>
      </c>
      <c r="L35" s="13">
        <f t="shared" si="3"/>
        <v>42.571961560964404</v>
      </c>
      <c r="M35" s="60">
        <f>L18</f>
        <v>1.3388485239164003</v>
      </c>
      <c r="R35" t="s">
        <v>3</v>
      </c>
      <c r="S35">
        <v>1222</v>
      </c>
      <c r="T35">
        <v>0.14</v>
      </c>
    </row>
    <row r="36" spans="1:20" ht="13.5" thickBot="1">
      <c r="A36" s="22" t="s">
        <v>10</v>
      </c>
      <c r="B36" s="23">
        <f>M19*L35/(SUM($M$19:$M$20))</f>
        <v>19.00140469592369</v>
      </c>
      <c r="D36" s="65">
        <f>L35*L19/SUM(L19:$L$20)*(1-$F$5)</f>
        <v>7.600561878369476</v>
      </c>
      <c r="E36" s="18">
        <f>L35*L19/SUM(L19:$L$20)*(1+$F$5)</f>
        <v>30.402247513477903</v>
      </c>
      <c r="F36" s="66">
        <f>L35-SUM(L20:$L$20)*L35*(1+$I$5)/SUM(L19:$L$20)</f>
        <v>11.93023763641147</v>
      </c>
      <c r="G36" s="18">
        <f>L35-SUM(L20:$L$20)*L35*(1-$I$5)/SUM(L19:$L$20)</f>
        <v>26.072571755435902</v>
      </c>
      <c r="H36" s="18">
        <f>MAX(D36,F36)</f>
        <v>11.93023763641147</v>
      </c>
      <c r="I36" s="67">
        <f>MIN(E36,G36)</f>
        <v>26.072571755435902</v>
      </c>
      <c r="K36" s="19">
        <f t="shared" si="2"/>
        <v>19.00140469592369</v>
      </c>
      <c r="L36" s="13">
        <f t="shared" si="3"/>
        <v>23.570556865040714</v>
      </c>
      <c r="M36" s="60">
        <f>M19</f>
        <v>0.46867656131749513</v>
      </c>
      <c r="R36" t="s">
        <v>4</v>
      </c>
      <c r="S36">
        <v>1158</v>
      </c>
      <c r="T36">
        <v>0.004</v>
      </c>
    </row>
    <row r="37" spans="1:20" ht="13.5" thickBot="1">
      <c r="A37" s="24" t="s">
        <v>11</v>
      </c>
      <c r="B37" s="25">
        <f>$C$5-SUM(K26:K36)</f>
        <v>23.570556865040714</v>
      </c>
      <c r="F37" s="62"/>
      <c r="K37" s="65">
        <f>B37</f>
        <v>23.570556865040714</v>
      </c>
      <c r="L37" s="18">
        <f t="shared" si="3"/>
        <v>0</v>
      </c>
      <c r="M37" s="61">
        <f>N20</f>
        <v>0.5813763622547145</v>
      </c>
      <c r="R37" t="s">
        <v>5</v>
      </c>
      <c r="S37">
        <v>1160</v>
      </c>
      <c r="T37">
        <v>0.72</v>
      </c>
    </row>
    <row r="38" spans="11:20" ht="13.5" thickBot="1">
      <c r="K38" s="17">
        <f>SUM(K26:K37)</f>
        <v>172.5</v>
      </c>
      <c r="R38" t="s">
        <v>6</v>
      </c>
      <c r="S38">
        <v>1137</v>
      </c>
      <c r="T38">
        <v>0.05</v>
      </c>
    </row>
    <row r="39" spans="18:20" ht="12.75">
      <c r="R39" t="s">
        <v>7</v>
      </c>
      <c r="S39">
        <v>1192</v>
      </c>
      <c r="T39">
        <v>0.03</v>
      </c>
    </row>
    <row r="40" spans="18:20" ht="12.75">
      <c r="R40" t="s">
        <v>8</v>
      </c>
      <c r="S40">
        <v>1320</v>
      </c>
      <c r="T40">
        <v>0.19</v>
      </c>
    </row>
    <row r="41" spans="4:20" ht="13.5" thickBot="1">
      <c r="D41" s="5"/>
      <c r="R41" t="s">
        <v>9</v>
      </c>
      <c r="S41">
        <v>1578</v>
      </c>
      <c r="T41">
        <v>1.33</v>
      </c>
    </row>
    <row r="42" spans="1:20" ht="26.25" thickBot="1">
      <c r="A42" s="20" t="s">
        <v>25</v>
      </c>
      <c r="B42" s="34" t="s">
        <v>24</v>
      </c>
      <c r="D42" s="77" t="s">
        <v>50</v>
      </c>
      <c r="E42" s="77" t="s">
        <v>51</v>
      </c>
      <c r="F42" s="77" t="s">
        <v>21</v>
      </c>
      <c r="G42" s="77" t="s">
        <v>22</v>
      </c>
      <c r="H42" s="78" t="s">
        <v>52</v>
      </c>
      <c r="I42" s="78" t="s">
        <v>53</v>
      </c>
      <c r="J42" s="14"/>
      <c r="K42" s="27" t="s">
        <v>15</v>
      </c>
      <c r="L42" s="28" t="s">
        <v>14</v>
      </c>
      <c r="M42" s="29" t="s">
        <v>13</v>
      </c>
      <c r="R42" t="s">
        <v>10</v>
      </c>
      <c r="S42">
        <v>1766</v>
      </c>
      <c r="T42">
        <v>0.46</v>
      </c>
    </row>
    <row r="43" spans="1:20" ht="166.5" thickBot="1">
      <c r="A43" s="35" t="s">
        <v>27</v>
      </c>
      <c r="B43" s="37" t="s">
        <v>62</v>
      </c>
      <c r="D43" s="35" t="s">
        <v>69</v>
      </c>
      <c r="E43" s="35" t="s">
        <v>68</v>
      </c>
      <c r="F43" s="36" t="s">
        <v>66</v>
      </c>
      <c r="G43" s="36" t="s">
        <v>67</v>
      </c>
      <c r="H43" s="37" t="s">
        <v>56</v>
      </c>
      <c r="I43" s="37" t="s">
        <v>57</v>
      </c>
      <c r="J43" s="33"/>
      <c r="K43" s="35" t="s">
        <v>59</v>
      </c>
      <c r="L43" s="36" t="s">
        <v>28</v>
      </c>
      <c r="M43" s="37" t="s">
        <v>58</v>
      </c>
      <c r="R43" t="s">
        <v>11</v>
      </c>
      <c r="S43">
        <v>1824</v>
      </c>
      <c r="T43">
        <v>0.58</v>
      </c>
    </row>
  </sheetData>
  <sheetProtection/>
  <conditionalFormatting sqref="K38">
    <cfRule type="cellIs" priority="2" dxfId="0" operator="notEqual">
      <formula>$C$5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4"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43"/>
  <sheetViews>
    <sheetView showGridLines="0" tabSelected="1" zoomScale="85" zoomScaleNormal="85" zoomScalePageLayoutView="0" workbookViewId="0" topLeftCell="A1">
      <pane ySplit="8" topLeftCell="A9" activePane="bottomLeft" state="frozen"/>
      <selection pane="topLeft" activeCell="A1" sqref="A1"/>
      <selection pane="bottomLeft" activeCell="O42" sqref="O42"/>
    </sheetView>
  </sheetViews>
  <sheetFormatPr defaultColWidth="9.140625" defaultRowHeight="12.75"/>
  <cols>
    <col min="1" max="1" width="11.57421875" style="0" customWidth="1"/>
    <col min="2" max="2" width="15.00390625" style="0" customWidth="1"/>
    <col min="3" max="3" width="11.28125" style="0" customWidth="1"/>
    <col min="4" max="4" width="14.140625" style="0" customWidth="1"/>
    <col min="5" max="5" width="16.140625" style="0" customWidth="1"/>
    <col min="6" max="6" width="12.421875" style="0" customWidth="1"/>
    <col min="7" max="7" width="13.421875" style="0" customWidth="1"/>
    <col min="8" max="13" width="11.28125" style="0" customWidth="1"/>
  </cols>
  <sheetData>
    <row r="2" spans="4:7" ht="26.25">
      <c r="D2" s="4"/>
      <c r="G2" s="31" t="s">
        <v>49</v>
      </c>
    </row>
    <row r="5" spans="1:12" ht="12.75">
      <c r="A5" t="s">
        <v>20</v>
      </c>
      <c r="B5" s="7" t="s">
        <v>12</v>
      </c>
      <c r="C5" s="80">
        <f>C6*C7</f>
        <v>165.29999999999998</v>
      </c>
      <c r="E5" s="7" t="s">
        <v>16</v>
      </c>
      <c r="F5" s="11">
        <v>0.6</v>
      </c>
      <c r="H5" s="7" t="s">
        <v>17</v>
      </c>
      <c r="I5" s="11">
        <v>0.3</v>
      </c>
      <c r="L5" t="s">
        <v>23</v>
      </c>
    </row>
    <row r="6" spans="2:13" ht="12.75">
      <c r="B6" s="7" t="s">
        <v>64</v>
      </c>
      <c r="C6" s="10">
        <v>551</v>
      </c>
      <c r="L6" s="11"/>
      <c r="M6" t="s">
        <v>47</v>
      </c>
    </row>
    <row r="7" spans="2:13" ht="12.75">
      <c r="B7" s="7" t="s">
        <v>65</v>
      </c>
      <c r="C7" s="10">
        <v>0.3</v>
      </c>
      <c r="L7" s="16"/>
      <c r="M7" t="s">
        <v>48</v>
      </c>
    </row>
    <row r="8" spans="3:13" ht="12.75">
      <c r="C8" s="3"/>
      <c r="D8" s="3"/>
      <c r="E8" s="3"/>
      <c r="F8" s="3"/>
      <c r="G8" s="3"/>
      <c r="H8" s="3"/>
      <c r="I8" s="3"/>
      <c r="J8" s="3"/>
      <c r="K8" s="3"/>
      <c r="L8" s="9"/>
      <c r="M8" t="s">
        <v>44</v>
      </c>
    </row>
    <row r="9" spans="1:14" ht="12.75">
      <c r="A9" s="6" t="s">
        <v>0</v>
      </c>
      <c r="B9" s="9">
        <v>0.5</v>
      </c>
      <c r="C9" s="8">
        <v>0.5</v>
      </c>
      <c r="D9" s="12"/>
      <c r="E9" s="12"/>
      <c r="F9" s="12"/>
      <c r="G9" s="12"/>
      <c r="H9" s="12"/>
      <c r="I9" s="12"/>
      <c r="J9" s="12"/>
      <c r="K9" s="12"/>
      <c r="L9" s="12"/>
      <c r="M9" s="12"/>
      <c r="N9" s="12"/>
    </row>
    <row r="10" spans="1:14" ht="12.75">
      <c r="A10" s="6" t="s">
        <v>1</v>
      </c>
      <c r="B10" s="9">
        <v>0.5</v>
      </c>
      <c r="C10" s="9">
        <v>3</v>
      </c>
      <c r="D10" s="8">
        <v>2</v>
      </c>
      <c r="E10" s="12"/>
      <c r="F10" s="12"/>
      <c r="G10" s="12"/>
      <c r="H10" s="12"/>
      <c r="I10" s="12"/>
      <c r="J10" s="12"/>
      <c r="K10" s="12"/>
      <c r="L10" s="12"/>
      <c r="M10" s="12"/>
      <c r="N10" s="12"/>
    </row>
    <row r="11" spans="1:14" ht="12.75">
      <c r="A11" s="6" t="s">
        <v>2</v>
      </c>
      <c r="B11" s="9">
        <v>0.5</v>
      </c>
      <c r="C11" s="9">
        <v>1</v>
      </c>
      <c r="D11" s="9">
        <v>2</v>
      </c>
      <c r="E11" s="8">
        <v>1</v>
      </c>
      <c r="F11" s="12"/>
      <c r="G11" s="12"/>
      <c r="H11" s="12"/>
      <c r="I11" s="12"/>
      <c r="J11" s="12"/>
      <c r="K11" s="12"/>
      <c r="L11" s="12"/>
      <c r="M11" s="12"/>
      <c r="N11" s="12"/>
    </row>
    <row r="12" spans="1:14" ht="12.75">
      <c r="A12" s="6" t="s">
        <v>3</v>
      </c>
      <c r="B12" s="9">
        <v>0.5</v>
      </c>
      <c r="C12" s="9">
        <v>1</v>
      </c>
      <c r="D12" s="9">
        <v>1</v>
      </c>
      <c r="E12" s="9">
        <v>0.3</v>
      </c>
      <c r="F12" s="8">
        <v>0.3</v>
      </c>
      <c r="G12" s="12"/>
      <c r="H12" s="12"/>
      <c r="I12" s="12"/>
      <c r="J12" s="12"/>
      <c r="K12" s="12"/>
      <c r="L12" s="12"/>
      <c r="M12" s="12"/>
      <c r="N12" s="12"/>
    </row>
    <row r="13" spans="1:14" ht="12.75">
      <c r="A13" s="6" t="s">
        <v>4</v>
      </c>
      <c r="B13" s="9">
        <v>0.5</v>
      </c>
      <c r="C13" s="9">
        <v>0.5</v>
      </c>
      <c r="D13" s="9">
        <v>2</v>
      </c>
      <c r="E13" s="9">
        <v>0.5</v>
      </c>
      <c r="F13" s="9">
        <v>0.5</v>
      </c>
      <c r="G13" s="8">
        <v>0.5</v>
      </c>
      <c r="H13" s="12"/>
      <c r="I13" s="12"/>
      <c r="J13" s="12"/>
      <c r="K13" s="15"/>
      <c r="L13" s="12"/>
      <c r="M13" s="12"/>
      <c r="N13" s="12"/>
    </row>
    <row r="14" spans="1:14" ht="12.75">
      <c r="A14" s="6" t="s">
        <v>5</v>
      </c>
      <c r="B14" s="9">
        <v>0.5</v>
      </c>
      <c r="C14" s="9">
        <v>0.5</v>
      </c>
      <c r="D14" s="9">
        <v>2</v>
      </c>
      <c r="E14" s="9">
        <v>0.5</v>
      </c>
      <c r="F14" s="9">
        <v>0.5</v>
      </c>
      <c r="G14" s="9">
        <v>0.5</v>
      </c>
      <c r="H14" s="8">
        <v>0.5</v>
      </c>
      <c r="I14" s="12"/>
      <c r="J14" s="12"/>
      <c r="K14" s="12"/>
      <c r="L14" s="12"/>
      <c r="M14" s="12"/>
      <c r="N14" s="12"/>
    </row>
    <row r="15" spans="1:14" ht="12.75">
      <c r="A15" s="6" t="s">
        <v>6</v>
      </c>
      <c r="B15" s="9">
        <v>0.5</v>
      </c>
      <c r="C15" s="9">
        <v>0.5</v>
      </c>
      <c r="D15" s="9">
        <v>2</v>
      </c>
      <c r="E15" s="9">
        <v>0.5</v>
      </c>
      <c r="F15" s="9">
        <v>0.5</v>
      </c>
      <c r="G15" s="9">
        <v>0.5</v>
      </c>
      <c r="H15" s="9">
        <v>0.5</v>
      </c>
      <c r="I15" s="8">
        <v>0.1</v>
      </c>
      <c r="J15" s="12"/>
      <c r="K15" s="12"/>
      <c r="L15" s="12"/>
      <c r="M15" s="12"/>
      <c r="N15" s="12"/>
    </row>
    <row r="16" spans="1:14" ht="12.75">
      <c r="A16" s="6" t="s">
        <v>7</v>
      </c>
      <c r="B16" s="9">
        <v>0.5</v>
      </c>
      <c r="C16" s="9">
        <v>0.5</v>
      </c>
      <c r="D16" s="9">
        <v>2</v>
      </c>
      <c r="E16" s="9">
        <v>0.5</v>
      </c>
      <c r="F16" s="9">
        <v>0.5</v>
      </c>
      <c r="G16" s="9">
        <v>0.5</v>
      </c>
      <c r="H16" s="9">
        <v>0.5</v>
      </c>
      <c r="I16" s="9">
        <v>0.2</v>
      </c>
      <c r="J16" s="8">
        <v>0.1</v>
      </c>
      <c r="K16" s="12"/>
      <c r="L16" s="12"/>
      <c r="M16" s="12"/>
      <c r="N16" s="12"/>
    </row>
    <row r="17" spans="1:14" ht="12.75">
      <c r="A17" s="6" t="s">
        <v>8</v>
      </c>
      <c r="B17" s="9">
        <v>1</v>
      </c>
      <c r="C17" s="9">
        <v>1</v>
      </c>
      <c r="D17" s="9">
        <v>1</v>
      </c>
      <c r="E17" s="9">
        <v>1</v>
      </c>
      <c r="F17" s="9">
        <v>0</v>
      </c>
      <c r="G17" s="9">
        <v>1</v>
      </c>
      <c r="H17" s="9">
        <v>1</v>
      </c>
      <c r="I17" s="9">
        <v>1</v>
      </c>
      <c r="J17" s="9">
        <v>1</v>
      </c>
      <c r="K17" s="8">
        <v>0.1</v>
      </c>
      <c r="L17" s="12"/>
      <c r="M17" s="12"/>
      <c r="N17" s="12"/>
    </row>
    <row r="18" spans="1:14" ht="12.75">
      <c r="A18" s="6" t="s">
        <v>9</v>
      </c>
      <c r="B18" s="9">
        <v>1</v>
      </c>
      <c r="C18" s="9">
        <v>1</v>
      </c>
      <c r="D18" s="9">
        <v>1</v>
      </c>
      <c r="E18" s="9">
        <v>1</v>
      </c>
      <c r="F18" s="9">
        <v>1</v>
      </c>
      <c r="G18" s="9">
        <v>1</v>
      </c>
      <c r="H18" s="9">
        <v>1</v>
      </c>
      <c r="I18" s="9">
        <v>1</v>
      </c>
      <c r="J18" s="9">
        <v>1</v>
      </c>
      <c r="K18" s="9">
        <v>6</v>
      </c>
      <c r="L18" s="8">
        <v>6</v>
      </c>
      <c r="M18" s="12"/>
      <c r="N18" s="12"/>
    </row>
    <row r="19" spans="1:14" ht="12.75">
      <c r="A19" s="6" t="s">
        <v>10</v>
      </c>
      <c r="B19" s="9">
        <v>1</v>
      </c>
      <c r="C19" s="9">
        <v>1</v>
      </c>
      <c r="D19" s="9">
        <v>1</v>
      </c>
      <c r="E19" s="9">
        <v>1</v>
      </c>
      <c r="F19" s="9">
        <v>1</v>
      </c>
      <c r="G19" s="9">
        <v>1</v>
      </c>
      <c r="H19" s="9">
        <v>1</v>
      </c>
      <c r="I19" s="9">
        <v>1</v>
      </c>
      <c r="J19" s="9">
        <v>1</v>
      </c>
      <c r="K19" s="9">
        <v>2</v>
      </c>
      <c r="L19" s="9">
        <v>10</v>
      </c>
      <c r="M19" s="8">
        <v>10</v>
      </c>
      <c r="N19" s="12"/>
    </row>
    <row r="20" spans="1:14" ht="12.75">
      <c r="A20" s="6" t="s">
        <v>11</v>
      </c>
      <c r="B20" s="9">
        <v>0.5</v>
      </c>
      <c r="C20" s="9">
        <v>0.5</v>
      </c>
      <c r="D20" s="9">
        <v>0.5</v>
      </c>
      <c r="E20" s="9">
        <v>0.5</v>
      </c>
      <c r="F20" s="9">
        <v>0.5</v>
      </c>
      <c r="G20" s="9">
        <v>0.5</v>
      </c>
      <c r="H20" s="9">
        <v>0.5</v>
      </c>
      <c r="I20" s="9">
        <v>0.5</v>
      </c>
      <c r="J20" s="9">
        <v>0.5</v>
      </c>
      <c r="K20" s="9">
        <v>0.5</v>
      </c>
      <c r="L20" s="9">
        <v>2</v>
      </c>
      <c r="M20" s="9">
        <v>5</v>
      </c>
      <c r="N20" s="8">
        <v>1</v>
      </c>
    </row>
    <row r="22" spans="8:10" ht="12.75">
      <c r="H22" s="2"/>
      <c r="I22" s="2"/>
      <c r="J22" s="2"/>
    </row>
    <row r="23" spans="4:13" ht="12.75">
      <c r="D23" s="5"/>
      <c r="E23" s="1"/>
      <c r="F23" s="1"/>
      <c r="G23" s="1"/>
      <c r="H23" s="2"/>
      <c r="I23" s="2"/>
      <c r="J23" s="2"/>
      <c r="K23" s="1"/>
      <c r="L23" s="1"/>
      <c r="M23" s="1"/>
    </row>
    <row r="24" s="14" customFormat="1" ht="28.5" customHeight="1" thickBot="1"/>
    <row r="25" spans="1:13" ht="26.25" thickBot="1">
      <c r="A25" s="20" t="s">
        <v>25</v>
      </c>
      <c r="B25" s="21" t="s">
        <v>24</v>
      </c>
      <c r="D25" s="72" t="s">
        <v>50</v>
      </c>
      <c r="E25" s="73" t="s">
        <v>51</v>
      </c>
      <c r="F25" s="74" t="s">
        <v>21</v>
      </c>
      <c r="G25" s="74" t="s">
        <v>22</v>
      </c>
      <c r="H25" s="75" t="s">
        <v>52</v>
      </c>
      <c r="I25" s="79" t="s">
        <v>53</v>
      </c>
      <c r="J25" s="14"/>
      <c r="K25" s="27" t="s">
        <v>15</v>
      </c>
      <c r="L25" s="28" t="s">
        <v>14</v>
      </c>
      <c r="M25" s="29" t="s">
        <v>13</v>
      </c>
    </row>
    <row r="26" spans="1:13" ht="12.75">
      <c r="A26" s="22" t="s">
        <v>0</v>
      </c>
      <c r="B26" s="23">
        <f>C9*$C$5/(SUM($C$9:$C$20))</f>
        <v>7.513636363636363</v>
      </c>
      <c r="D26" s="68">
        <f>$C$5*B9/SUM(B9:$B$20)*(1-$F$5)</f>
        <v>4.408</v>
      </c>
      <c r="E26" s="69">
        <f>$C$5*B9/SUM(B9:$B$20)*(1+$F$5)</f>
        <v>17.632</v>
      </c>
      <c r="F26" s="70">
        <f>$C$5-SUM(B10:$B$20)*$C$5*(1+$I$5)/SUM(B9:$B$20)</f>
        <v>-35.26400000000001</v>
      </c>
      <c r="G26" s="69">
        <f>$C$5-SUM(B10:$B$20)*$C$5*(1-$I$5)/SUM(B9:$B$20)</f>
        <v>57.30399999999999</v>
      </c>
      <c r="H26" s="69">
        <f>MAX(D26,F26)</f>
        <v>4.408</v>
      </c>
      <c r="I26" s="71">
        <f>MIN(E26,G26)</f>
        <v>17.632</v>
      </c>
      <c r="K26" s="76">
        <f>MIN(MAX(B26,H26),I26)</f>
        <v>7.513636363636363</v>
      </c>
      <c r="L26" s="30">
        <f>C5-K26</f>
        <v>157.78636363636363</v>
      </c>
      <c r="M26" s="59">
        <f>C9</f>
        <v>0.5</v>
      </c>
    </row>
    <row r="27" spans="1:13" ht="12.75">
      <c r="A27" s="22" t="s">
        <v>1</v>
      </c>
      <c r="B27" s="23">
        <f>D10*L26/(SUM($D$10:$D$20))</f>
        <v>19.125619834710744</v>
      </c>
      <c r="D27" s="19">
        <f>L26*C10/SUM(C10:$C$20)*(1-$F$5)</f>
        <v>18.032727272727275</v>
      </c>
      <c r="E27" s="13">
        <f>L26*C10/SUM(C10:$C$20)*(1+$F$5)</f>
        <v>72.1309090909091</v>
      </c>
      <c r="F27" s="63">
        <f>L26-SUM(C11:$C$20)*L26*(1+$I$5)/SUM(C10:$C$20)</f>
        <v>11.270454545454527</v>
      </c>
      <c r="G27" s="13">
        <f>L26-SUM(C11:$C$20)*L26*(1-$I$5)/SUM(C10:$C$20)</f>
        <v>78.89318181818182</v>
      </c>
      <c r="H27" s="13">
        <f>MAX(D27,F27)</f>
        <v>18.032727272727275</v>
      </c>
      <c r="I27" s="64">
        <f>MIN(E27,G27)</f>
        <v>72.1309090909091</v>
      </c>
      <c r="K27" s="19">
        <f>MIN(MAX(B27,H27),I27)</f>
        <v>19.125619834710744</v>
      </c>
      <c r="L27" s="13">
        <f>L26-K27</f>
        <v>138.6607438016529</v>
      </c>
      <c r="M27" s="60">
        <f>D10</f>
        <v>2</v>
      </c>
    </row>
    <row r="28" spans="1:13" ht="12.75">
      <c r="A28" s="22" t="s">
        <v>2</v>
      </c>
      <c r="B28" s="23">
        <f>E11*(L27)/(SUM($E$11:$E$20))</f>
        <v>20.39128585318425</v>
      </c>
      <c r="D28" s="19">
        <f>L27*D11/SUM(D11:$D$20)*(1-$F$5)</f>
        <v>7.650247933884298</v>
      </c>
      <c r="E28" s="13">
        <f>L27*D11/SUM(D11:$D$20)*(1+$F$5)</f>
        <v>30.600991735537193</v>
      </c>
      <c r="F28" s="63">
        <f>L27-SUM(D12:$D$20)*L27*(1+$I$5)/SUM(D11:$D$20)</f>
        <v>-16.73491735537189</v>
      </c>
      <c r="G28" s="13">
        <f>L27-SUM(D12:$D$20)*L27*(1-$I$5)/SUM(D11:$D$20)</f>
        <v>54.9861570247934</v>
      </c>
      <c r="H28" s="13">
        <f aca="true" t="shared" si="0" ref="H28:H35">MAX(D28,F28)</f>
        <v>7.650247933884298</v>
      </c>
      <c r="I28" s="64">
        <f aca="true" t="shared" si="1" ref="I28:I35">MIN(E28,G28)</f>
        <v>30.600991735537193</v>
      </c>
      <c r="K28" s="19">
        <f aca="true" t="shared" si="2" ref="K28:K36">MIN(MAX(B28,H28),I28)</f>
        <v>20.39128585318425</v>
      </c>
      <c r="L28" s="13">
        <f aca="true" t="shared" si="3" ref="L28:L37">L27-K28</f>
        <v>118.26945794846864</v>
      </c>
      <c r="M28" s="60">
        <f>E11</f>
        <v>1</v>
      </c>
    </row>
    <row r="29" spans="1:13" ht="12.75">
      <c r="A29" s="22" t="s">
        <v>3</v>
      </c>
      <c r="B29" s="23">
        <f>F12*L28/(SUM($F$12:$F$20))</f>
        <v>7.39184112177929</v>
      </c>
      <c r="D29" s="19">
        <f>L28*E12/SUM(E12:$E$20)*(1-$F$5)</f>
        <v>2.4469543023821103</v>
      </c>
      <c r="E29" s="13">
        <f>L28*E12/SUM(E12:$E$20)*(1+$F$5)</f>
        <v>9.787817209528441</v>
      </c>
      <c r="F29" s="63">
        <f>L28-SUM(E13:$E$20)*L28*(1+$I$5)/SUM(E12:$E$20)</f>
        <v>-27.52823590179875</v>
      </c>
      <c r="G29" s="13">
        <f>L28-SUM(E13:$E$20)*L28*(1-$I$5)/SUM(E12:$E$20)</f>
        <v>39.76300741370929</v>
      </c>
      <c r="H29" s="13">
        <f t="shared" si="0"/>
        <v>2.4469543023821103</v>
      </c>
      <c r="I29" s="64">
        <f t="shared" si="1"/>
        <v>9.787817209528441</v>
      </c>
      <c r="K29" s="19">
        <f t="shared" si="2"/>
        <v>7.39184112177929</v>
      </c>
      <c r="L29" s="13">
        <f>L28-K29</f>
        <v>110.87761682668935</v>
      </c>
      <c r="M29" s="60">
        <f>F12</f>
        <v>0.3</v>
      </c>
    </row>
    <row r="30" spans="1:13" ht="12.75">
      <c r="A30" s="22" t="s">
        <v>4</v>
      </c>
      <c r="B30" s="23">
        <f>G13*L29/(SUM($G$13:$G$20))</f>
        <v>10.07978334788085</v>
      </c>
      <c r="D30" s="19">
        <f>L29*F13/SUM(F13:$F$20)*(1-$F$5)</f>
        <v>4.927894081186193</v>
      </c>
      <c r="E30" s="13">
        <f>L29*F13/SUM(F13:$F$20)*(1+$F$5)</f>
        <v>19.711576324744772</v>
      </c>
      <c r="F30" s="63">
        <f>L29-SUM(F14:$F$20)*L29*(1+$I$5)/SUM(F13:$F$20)</f>
        <v>-17.247629284151685</v>
      </c>
      <c r="G30" s="13">
        <f>L29-SUM(F14:$F$20)*L29*(1-$I$5)/SUM(F13:$F$20)</f>
        <v>41.88709969008265</v>
      </c>
      <c r="H30" s="13">
        <f t="shared" si="0"/>
        <v>4.927894081186193</v>
      </c>
      <c r="I30" s="64">
        <f t="shared" si="1"/>
        <v>19.711576324744772</v>
      </c>
      <c r="K30" s="19">
        <f t="shared" si="2"/>
        <v>10.07978334788085</v>
      </c>
      <c r="L30" s="13">
        <f t="shared" si="3"/>
        <v>100.7978334788085</v>
      </c>
      <c r="M30" s="60">
        <f>G13</f>
        <v>0.5</v>
      </c>
    </row>
    <row r="31" spans="1:13" ht="12.75">
      <c r="A31" s="22" t="s">
        <v>5</v>
      </c>
      <c r="B31" s="23">
        <f>H14*L30/(SUM($H$14:$H$20))</f>
        <v>10.07978334788085</v>
      </c>
      <c r="D31" s="19">
        <f>L30*G14/SUM(G14:$G$20)*(1-$F$5)</f>
        <v>4.03191333915234</v>
      </c>
      <c r="E31" s="13">
        <f>L30*G14/SUM(G14:$G$20)*(1+$F$5)</f>
        <v>16.12765335660936</v>
      </c>
      <c r="F31" s="63">
        <f>L30-SUM(G15:$G$20)*L30*(1+$I$5)/SUM(G14:$G$20)</f>
        <v>-17.135631691397435</v>
      </c>
      <c r="G31" s="13">
        <f>L30-SUM(G15:$G$20)*L30*(1-$I$5)/SUM(G14:$G$20)</f>
        <v>37.295198387159154</v>
      </c>
      <c r="H31" s="13">
        <f t="shared" si="0"/>
        <v>4.03191333915234</v>
      </c>
      <c r="I31" s="64">
        <f t="shared" si="1"/>
        <v>16.12765335660936</v>
      </c>
      <c r="K31" s="19">
        <f t="shared" si="2"/>
        <v>10.07978334788085</v>
      </c>
      <c r="L31" s="13">
        <f t="shared" si="3"/>
        <v>90.71805013092765</v>
      </c>
      <c r="M31" s="60">
        <f>H14</f>
        <v>0.5</v>
      </c>
    </row>
    <row r="32" spans="1:13" ht="12.75">
      <c r="A32" s="22" t="s">
        <v>6</v>
      </c>
      <c r="B32" s="23">
        <f>I15*L31/(SUM($I$15:$I$20))</f>
        <v>2.3873171087086225</v>
      </c>
      <c r="D32" s="19">
        <f>L31*H15/SUM(H15:$H$20)*(1-$F$5)</f>
        <v>4.03191333915234</v>
      </c>
      <c r="E32" s="13">
        <f>L31*H15/SUM(H15:$H$20)*(1+$F$5)</f>
        <v>16.12765335660936</v>
      </c>
      <c r="F32" s="63">
        <f>L31-SUM(H16:$H$20)*L31*(1+$I$5)/SUM(H15:$H$20)</f>
        <v>-14.111696687033188</v>
      </c>
      <c r="G32" s="13">
        <f>L31-SUM(H16:$H$20)*L31*(1-$I$5)/SUM(H15:$H$20)</f>
        <v>34.27126338279489</v>
      </c>
      <c r="H32" s="13">
        <f t="shared" si="0"/>
        <v>4.03191333915234</v>
      </c>
      <c r="I32" s="64">
        <f t="shared" si="1"/>
        <v>16.12765335660936</v>
      </c>
      <c r="K32" s="19">
        <f t="shared" si="2"/>
        <v>4.03191333915234</v>
      </c>
      <c r="L32" s="13">
        <f t="shared" si="3"/>
        <v>86.68613679177531</v>
      </c>
      <c r="M32" s="60">
        <f>I15</f>
        <v>0.1</v>
      </c>
    </row>
    <row r="33" spans="1:13" ht="12.75">
      <c r="A33" s="22" t="s">
        <v>7</v>
      </c>
      <c r="B33" s="23">
        <f>J16*L32/(SUM($J$16:$J$20))</f>
        <v>2.4079482442159805</v>
      </c>
      <c r="D33" s="19">
        <f>L32*I16/SUM(I16:$I$20)*(1-$F$5)</f>
        <v>1.8742948495518985</v>
      </c>
      <c r="E33" s="13">
        <f>L32*I16/SUM(I16:$I$20)*(1+$F$5)</f>
        <v>7.497179398207594</v>
      </c>
      <c r="F33" s="63">
        <f>L32-SUM(I17:$I$20)*L32*(1+$I$5)/SUM(I16:$I$20)</f>
        <v>-19.914382776488935</v>
      </c>
      <c r="G33" s="13">
        <f>L32-SUM(I17:$I$20)*L32*(1-$I$5)/SUM(I16:$I$20)</f>
        <v>29.285857024248422</v>
      </c>
      <c r="H33" s="13">
        <f t="shared" si="0"/>
        <v>1.8742948495518985</v>
      </c>
      <c r="I33" s="64">
        <f t="shared" si="1"/>
        <v>7.497179398207594</v>
      </c>
      <c r="K33" s="19">
        <f t="shared" si="2"/>
        <v>2.4079482442159805</v>
      </c>
      <c r="L33" s="13">
        <f t="shared" si="3"/>
        <v>84.27818854755932</v>
      </c>
      <c r="M33" s="60">
        <f>J16</f>
        <v>0.1</v>
      </c>
    </row>
    <row r="34" spans="1:13" ht="12.75">
      <c r="A34" s="22" t="s">
        <v>8</v>
      </c>
      <c r="B34" s="23">
        <f>K17*L33/(SUM($K$17:$K$20))</f>
        <v>0.9799789365995271</v>
      </c>
      <c r="D34" s="19">
        <f>L33*J17/SUM(J17:$J$20)*(1-$F$5)</f>
        <v>9.631792976863924</v>
      </c>
      <c r="E34" s="13">
        <f>L33*J17/SUM(J17:$J$20)*(1+$F$5)</f>
        <v>38.527171907455696</v>
      </c>
      <c r="F34" s="63">
        <f>L33-SUM(J18:$J$20)*L33*(1+$I$5)/SUM(J17:$J$20)</f>
        <v>6.019870610539954</v>
      </c>
      <c r="G34" s="13">
        <f>L33-SUM(J18:$J$20)*L33*(1-$I$5)/SUM(J17:$J$20)</f>
        <v>42.13909427377966</v>
      </c>
      <c r="H34" s="13">
        <f t="shared" si="0"/>
        <v>9.631792976863924</v>
      </c>
      <c r="I34" s="64">
        <f t="shared" si="1"/>
        <v>38.527171907455696</v>
      </c>
      <c r="K34" s="19">
        <f t="shared" si="2"/>
        <v>9.631792976863924</v>
      </c>
      <c r="L34" s="13">
        <f t="shared" si="3"/>
        <v>74.6463955706954</v>
      </c>
      <c r="M34" s="60">
        <f>K17</f>
        <v>0.1</v>
      </c>
    </row>
    <row r="35" spans="1:13" ht="12.75">
      <c r="A35" s="22" t="s">
        <v>9</v>
      </c>
      <c r="B35" s="23">
        <f>L18*L34/(SUM($L$18:$L$20))</f>
        <v>24.882131856898468</v>
      </c>
      <c r="D35" s="19">
        <f>L34*K18/SUM(K18:$K$20)*(1-$F$5)</f>
        <v>21.076629337608114</v>
      </c>
      <c r="E35" s="13">
        <f>L34*K18/SUM(K18:$K$20)*(1+$F$5)</f>
        <v>84.30651735043246</v>
      </c>
      <c r="F35" s="63">
        <f>L34-SUM(K19:$K$20)*L34*(1+$I$5)/SUM(K18:$K$20)</f>
        <v>46.10512667601775</v>
      </c>
      <c r="G35" s="13">
        <f>L34-SUM(K19:$K$20)*L34*(1-$I$5)/SUM(K18:$K$20)</f>
        <v>59.27802001202282</v>
      </c>
      <c r="H35" s="13">
        <f t="shared" si="0"/>
        <v>46.10512667601775</v>
      </c>
      <c r="I35" s="64">
        <f t="shared" si="1"/>
        <v>59.27802001202282</v>
      </c>
      <c r="K35" s="19">
        <f t="shared" si="2"/>
        <v>46.10512667601775</v>
      </c>
      <c r="L35" s="13">
        <f t="shared" si="3"/>
        <v>28.541268894677657</v>
      </c>
      <c r="M35" s="60">
        <f>L18</f>
        <v>6</v>
      </c>
    </row>
    <row r="36" spans="1:13" ht="13.5" thickBot="1">
      <c r="A36" s="22" t="s">
        <v>10</v>
      </c>
      <c r="B36" s="23">
        <f>M19*L35/(SUM($M$19:$M$20))</f>
        <v>19.027512596451775</v>
      </c>
      <c r="D36" s="65">
        <f>L35*L19/SUM(L19:$L$20)*(1-$F$5)</f>
        <v>9.513756298225887</v>
      </c>
      <c r="E36" s="18">
        <f>L35*L19/SUM(L19:$L$20)*(1+$F$5)</f>
        <v>38.05502519290355</v>
      </c>
      <c r="F36" s="66">
        <f>L35-SUM(L20:$L$20)*L35*(1+$I$5)/SUM(L19:$L$20)</f>
        <v>22.357327300830832</v>
      </c>
      <c r="G36" s="18">
        <f>L35-SUM(L20:$L$20)*L35*(1-$I$5)/SUM(L19:$L$20)</f>
        <v>25.211454190298596</v>
      </c>
      <c r="H36" s="18">
        <f>MAX(D36,F36)</f>
        <v>22.357327300830832</v>
      </c>
      <c r="I36" s="67">
        <f>MIN(E36,G36)</f>
        <v>25.211454190298596</v>
      </c>
      <c r="K36" s="19">
        <f t="shared" si="2"/>
        <v>22.357327300830832</v>
      </c>
      <c r="L36" s="13">
        <f t="shared" si="3"/>
        <v>6.183941593846825</v>
      </c>
      <c r="M36" s="60">
        <f>M19</f>
        <v>10</v>
      </c>
    </row>
    <row r="37" spans="1:13" ht="13.5" thickBot="1">
      <c r="A37" s="24" t="s">
        <v>11</v>
      </c>
      <c r="B37" s="25">
        <f>$C$5-SUM(K26:K36)</f>
        <v>6.183941593846811</v>
      </c>
      <c r="F37" s="62"/>
      <c r="K37" s="65">
        <f>B37</f>
        <v>6.183941593846811</v>
      </c>
      <c r="L37" s="18">
        <f t="shared" si="3"/>
        <v>1.4210854715202004E-14</v>
      </c>
      <c r="M37" s="61">
        <f>N20</f>
        <v>1</v>
      </c>
    </row>
    <row r="38" ht="13.5" thickBot="1">
      <c r="K38" s="81">
        <f>SUM(K26:K37)</f>
        <v>165.29999999999998</v>
      </c>
    </row>
    <row r="41" ht="13.5" thickBot="1">
      <c r="D41" s="5"/>
    </row>
    <row r="42" spans="1:13" ht="26.25" thickBot="1">
      <c r="A42" s="20" t="s">
        <v>25</v>
      </c>
      <c r="B42" s="34" t="s">
        <v>24</v>
      </c>
      <c r="D42" s="77" t="s">
        <v>50</v>
      </c>
      <c r="E42" s="77" t="s">
        <v>51</v>
      </c>
      <c r="F42" s="77" t="s">
        <v>21</v>
      </c>
      <c r="G42" s="77" t="s">
        <v>22</v>
      </c>
      <c r="H42" s="78" t="s">
        <v>52</v>
      </c>
      <c r="I42" s="78" t="s">
        <v>53</v>
      </c>
      <c r="J42" s="14"/>
      <c r="K42" s="27" t="s">
        <v>15</v>
      </c>
      <c r="L42" s="28" t="s">
        <v>14</v>
      </c>
      <c r="M42" s="29" t="s">
        <v>13</v>
      </c>
    </row>
    <row r="43" spans="1:13" ht="153.75" thickBot="1">
      <c r="A43" s="35" t="s">
        <v>27</v>
      </c>
      <c r="B43" s="37" t="s">
        <v>62</v>
      </c>
      <c r="D43" s="35" t="s">
        <v>69</v>
      </c>
      <c r="E43" s="35" t="s">
        <v>68</v>
      </c>
      <c r="F43" s="36" t="s">
        <v>66</v>
      </c>
      <c r="G43" s="36" t="s">
        <v>67</v>
      </c>
      <c r="H43" s="37" t="s">
        <v>56</v>
      </c>
      <c r="I43" s="37" t="s">
        <v>57</v>
      </c>
      <c r="J43" s="33"/>
      <c r="K43" s="35" t="s">
        <v>59</v>
      </c>
      <c r="L43" s="36" t="s">
        <v>28</v>
      </c>
      <c r="M43" s="37" t="s">
        <v>58</v>
      </c>
    </row>
  </sheetData>
  <sheetProtection/>
  <conditionalFormatting sqref="K38">
    <cfRule type="cellIs" priority="3" dxfId="0" operator="notEqual">
      <formula>$C$5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C31"/>
  <sheetViews>
    <sheetView showGridLines="0" zoomScalePageLayoutView="0" workbookViewId="0" topLeftCell="A1">
      <selection activeCell="B27" sqref="B27"/>
    </sheetView>
  </sheetViews>
  <sheetFormatPr defaultColWidth="9.140625" defaultRowHeight="12.75"/>
  <cols>
    <col min="2" max="2" width="101.140625" style="33" customWidth="1"/>
    <col min="3" max="3" width="75.7109375" style="0" customWidth="1"/>
  </cols>
  <sheetData>
    <row r="1" ht="27.75">
      <c r="B1" s="55" t="s">
        <v>26</v>
      </c>
    </row>
    <row r="4" spans="2:3" ht="12.75">
      <c r="B4" s="57" t="s">
        <v>41</v>
      </c>
      <c r="C4" s="58"/>
    </row>
    <row r="5" ht="13.5" thickBot="1"/>
    <row r="6" spans="2:3" ht="12" customHeight="1">
      <c r="B6" s="56" t="s">
        <v>40</v>
      </c>
      <c r="C6" s="39"/>
    </row>
    <row r="7" spans="2:3" ht="12.75">
      <c r="B7" s="40"/>
      <c r="C7" s="42"/>
    </row>
    <row r="8" spans="2:3" ht="12.75">
      <c r="B8" s="82" t="s">
        <v>38</v>
      </c>
      <c r="C8" s="83"/>
    </row>
    <row r="9" spans="2:3" ht="12.75">
      <c r="B9" s="40"/>
      <c r="C9" s="42"/>
    </row>
    <row r="10" spans="2:3" ht="26.25" customHeight="1">
      <c r="B10" s="82" t="s">
        <v>29</v>
      </c>
      <c r="C10" s="83"/>
    </row>
    <row r="11" spans="2:3" ht="12.75">
      <c r="B11" s="40"/>
      <c r="C11" s="42"/>
    </row>
    <row r="12" spans="2:3" ht="27.75" customHeight="1">
      <c r="B12" s="82" t="s">
        <v>36</v>
      </c>
      <c r="C12" s="83"/>
    </row>
    <row r="13" spans="2:3" ht="12.75">
      <c r="B13" s="40"/>
      <c r="C13" s="42"/>
    </row>
    <row r="14" spans="2:3" ht="12.75">
      <c r="B14" s="82" t="s">
        <v>70</v>
      </c>
      <c r="C14" s="83"/>
    </row>
    <row r="15" spans="2:3" ht="13.5" thickBot="1">
      <c r="B15" s="84" t="s">
        <v>63</v>
      </c>
      <c r="C15" s="85"/>
    </row>
    <row r="17" spans="2:3" ht="12.75">
      <c r="B17" s="57" t="s">
        <v>42</v>
      </c>
      <c r="C17" s="58"/>
    </row>
    <row r="18" ht="13.5" thickBot="1"/>
    <row r="19" spans="2:3" ht="12.75">
      <c r="B19" s="38" t="s">
        <v>18</v>
      </c>
      <c r="C19" s="39"/>
    </row>
    <row r="20" spans="2:3" ht="51">
      <c r="B20" s="51" t="s">
        <v>19</v>
      </c>
      <c r="C20" s="41" t="s">
        <v>30</v>
      </c>
    </row>
    <row r="21" spans="2:3" ht="12.75">
      <c r="B21" s="40"/>
      <c r="C21" s="42"/>
    </row>
    <row r="22" spans="2:3" ht="51.75" thickBot="1">
      <c r="B22" s="52" t="s">
        <v>46</v>
      </c>
      <c r="C22" s="43" t="s">
        <v>37</v>
      </c>
    </row>
    <row r="24" spans="2:3" ht="12.75">
      <c r="B24" s="57" t="s">
        <v>43</v>
      </c>
      <c r="C24" s="58"/>
    </row>
    <row r="25" ht="13.5" thickBot="1"/>
    <row r="26" spans="2:3" ht="13.5" thickBot="1">
      <c r="B26" s="53" t="s">
        <v>31</v>
      </c>
      <c r="C26" s="54" t="s">
        <v>32</v>
      </c>
    </row>
    <row r="27" spans="2:3" ht="25.5">
      <c r="B27" s="49" t="s">
        <v>39</v>
      </c>
      <c r="C27" s="50" t="s">
        <v>35</v>
      </c>
    </row>
    <row r="28" spans="2:3" ht="25.5">
      <c r="B28" s="44" t="s">
        <v>33</v>
      </c>
      <c r="C28" s="45" t="s">
        <v>45</v>
      </c>
    </row>
    <row r="29" spans="2:3" ht="25.5">
      <c r="B29" s="44" t="s">
        <v>34</v>
      </c>
      <c r="C29" s="46"/>
    </row>
    <row r="30" spans="2:3" ht="12.75">
      <c r="B30" s="44"/>
      <c r="C30" s="46"/>
    </row>
    <row r="31" spans="2:3" ht="12.75">
      <c r="B31" s="47"/>
      <c r="C31" s="48"/>
    </row>
  </sheetData>
  <sheetProtection/>
  <mergeCells count="5">
    <mergeCell ref="B8:C8"/>
    <mergeCell ref="B10:C10"/>
    <mergeCell ref="B12:C12"/>
    <mergeCell ref="B15:C15"/>
    <mergeCell ref="B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Bell</dc:creator>
  <cp:keywords/>
  <dc:description/>
  <cp:lastModifiedBy>mrichardson</cp:lastModifiedBy>
  <cp:lastPrinted>2011-02-17T11:41:10Z</cp:lastPrinted>
  <dcterms:created xsi:type="dcterms:W3CDTF">2010-01-25T14:36:44Z</dcterms:created>
  <dcterms:modified xsi:type="dcterms:W3CDTF">2011-04-12T11:01:14Z</dcterms:modified>
  <cp:category/>
  <cp:version/>
  <cp:contentType/>
  <cp:contentStatus/>
</cp:coreProperties>
</file>